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C:\Users\PC\Desktop\PAIE 2026\4. FORFAIT JOURS\"/>
    </mc:Choice>
  </mc:AlternateContent>
  <xr:revisionPtr revIDLastSave="0" documentId="13_ncr:1_{79E31AA3-7229-4DBB-8C91-DB0EE1E5ABFA}" xr6:coauthVersionLast="47" xr6:coauthVersionMax="47" xr10:uidLastSave="{00000000-0000-0000-0000-000000000000}"/>
  <bookViews>
    <workbookView xWindow="-120" yWindow="-120" windowWidth="20730" windowHeight="11040" tabRatio="603" xr2:uid="{00000000-000D-0000-FFFF-FFFF00000000}"/>
  </bookViews>
  <sheets>
    <sheet name="COURS " sheetId="1" r:id="rId1"/>
    <sheet name="ABS 1 " sheetId="11" r:id="rId2"/>
    <sheet name="ABS 2" sheetId="12" r:id="rId3"/>
    <sheet name="ABS 3 " sheetId="13" r:id="rId4"/>
    <sheet name="EX 1 " sheetId="10" r:id="rId5"/>
  </sheets>
  <externalReferences>
    <externalReference r:id="rId6"/>
  </externalReferences>
  <definedNames>
    <definedName name="AO202NJO">#REF!</definedName>
    <definedName name="AOUT">#REF!</definedName>
    <definedName name="AOUT1">#REF!</definedName>
    <definedName name="AOUT202N">#REF!</definedName>
    <definedName name="AOUT202NJO">#REF!</definedName>
    <definedName name="APRIL202N">#REF!</definedName>
    <definedName name="APRIL202NJO">#REF!</definedName>
    <definedName name="AVR202NJO">#REF!</definedName>
    <definedName name="AVRIL">#REF!</definedName>
    <definedName name="AVRIL1">#REF!</definedName>
    <definedName name="AVRIL202N">#REF!</definedName>
    <definedName name="AVRIL202NJO">#REF!</definedName>
    <definedName name="DEC1202NJO">#REF!</definedName>
    <definedName name="DEC202NJO">#REF!</definedName>
    <definedName name="DECEMBRE">#REF!</definedName>
    <definedName name="DECEMBRE1">#REF!</definedName>
    <definedName name="DECEMBRE202N">#REF!</definedName>
    <definedName name="DECEMBRE202NJO">#REF!</definedName>
    <definedName name="FEV202NJO">#REF!</definedName>
    <definedName name="FEVRIER">#REF!</definedName>
    <definedName name="FEVRIER1">#REF!</definedName>
    <definedName name="FEVRIER202N">#REF!</definedName>
    <definedName name="FEVRIER202NJO">#REF!</definedName>
    <definedName name="JAN202NJO">#REF!</definedName>
    <definedName name="JANVIER">#REF!</definedName>
    <definedName name="JANVIER1">#REF!</definedName>
    <definedName name="JANVIER2">#REF!</definedName>
    <definedName name="JANVIER2020">#REF!</definedName>
    <definedName name="JANVIER202N">#REF!</definedName>
    <definedName name="JANVIER202N1JO">#REF!</definedName>
    <definedName name="JANVIER202NJC">#REF!</definedName>
    <definedName name="JANVIER202NJO">#REF!</definedName>
    <definedName name="JUI202NJ0">#REF!</definedName>
    <definedName name="JUIL202NJO">#REF!</definedName>
    <definedName name="JUILLET">#REF!</definedName>
    <definedName name="JUILLET1">#REF!</definedName>
    <definedName name="JUILLET202N">#REF!</definedName>
    <definedName name="JUILLET202NJO">#REF!</definedName>
    <definedName name="JUIN">#REF!</definedName>
    <definedName name="JUIN1">#REF!</definedName>
    <definedName name="JUIN202N">#REF!</definedName>
    <definedName name="JUIN202NJO">#REF!</definedName>
    <definedName name="JUNE202NJO">#REF!</definedName>
    <definedName name="MAI">#REF!</definedName>
    <definedName name="MAI202N">#REF!</definedName>
    <definedName name="MAI202NJO">#REF!</definedName>
    <definedName name="MARCH202NJO">#REF!</definedName>
    <definedName name="MARS">#REF!</definedName>
    <definedName name="MARS1">#REF!</definedName>
    <definedName name="MARS202N">#REF!</definedName>
    <definedName name="MARS202NJO">#REF!</definedName>
    <definedName name="MAY202NJO">#REF!</definedName>
    <definedName name="MOISMAI">#REF!</definedName>
    <definedName name="NOV202NJO">#REF!</definedName>
    <definedName name="NOVEMBRE">#REF!</definedName>
    <definedName name="NOVEMBRE202N">#REF!</definedName>
    <definedName name="NOVEMBRE202NJO">#REF!</definedName>
    <definedName name="OCT202NJO">#REF!</definedName>
    <definedName name="OCTOBRE">#REF!</definedName>
    <definedName name="OCTOBRE202N">#REF!</definedName>
    <definedName name="OCTOBRE202NJO">#REF!</definedName>
    <definedName name="SEPT202NJO">#REF!</definedName>
    <definedName name="SEPTEMBRE">#REF!</definedName>
    <definedName name="SEPTEMBRE1">#REF!</definedName>
    <definedName name="SEPTEMBRE202N">#REF!</definedName>
    <definedName name="SEPTEMBRE202NJ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06" i="1" l="1"/>
  <c r="I43" i="1"/>
  <c r="H43" i="1"/>
  <c r="G43" i="1"/>
  <c r="I45" i="1"/>
  <c r="J45" i="1"/>
  <c r="G42" i="1"/>
  <c r="H42" i="1"/>
  <c r="H32" i="1"/>
  <c r="H31" i="1"/>
  <c r="E21" i="1"/>
  <c r="E20" i="1"/>
  <c r="H29" i="10"/>
  <c r="C25" i="10"/>
  <c r="E5" i="10"/>
  <c r="E6" i="10"/>
  <c r="E4" i="10"/>
  <c r="C43" i="13"/>
  <c r="C42" i="13"/>
  <c r="C41" i="13"/>
  <c r="C55" i="13" s="1"/>
  <c r="C40" i="13"/>
  <c r="C39" i="13"/>
  <c r="C46" i="13" s="1"/>
  <c r="F27" i="13"/>
  <c r="F28" i="13" s="1"/>
  <c r="C16" i="13"/>
  <c r="C11" i="13"/>
  <c r="C17" i="13" s="1"/>
  <c r="E7" i="13"/>
  <c r="E5" i="13"/>
  <c r="E241" i="1"/>
  <c r="J221" i="1"/>
  <c r="J219" i="1"/>
  <c r="J218" i="1"/>
  <c r="G213" i="1"/>
  <c r="C43" i="12"/>
  <c r="C42" i="12"/>
  <c r="C41" i="12"/>
  <c r="C51" i="12" s="1"/>
  <c r="C40" i="12"/>
  <c r="C39" i="12"/>
  <c r="C46" i="12" s="1"/>
  <c r="F28" i="12"/>
  <c r="G28" i="12" s="1"/>
  <c r="F27" i="12"/>
  <c r="G27" i="12" s="1"/>
  <c r="C16" i="12"/>
  <c r="C11" i="12"/>
  <c r="C17" i="12" s="1"/>
  <c r="E7" i="12"/>
  <c r="E5" i="12"/>
  <c r="E199" i="1"/>
  <c r="H192" i="1"/>
  <c r="E190" i="1"/>
  <c r="E189" i="1"/>
  <c r="C165" i="1"/>
  <c r="C14" i="12"/>
  <c r="C58" i="12"/>
  <c r="C58" i="13"/>
  <c r="C45" i="12"/>
  <c r="C14" i="13"/>
  <c r="J223" i="1" l="1"/>
  <c r="K220" i="1"/>
  <c r="C51" i="13"/>
  <c r="C52" i="13" s="1"/>
  <c r="C44" i="13"/>
  <c r="C15" i="13"/>
  <c r="F29" i="13"/>
  <c r="G29" i="13" s="1"/>
  <c r="G28" i="13"/>
  <c r="C59" i="13"/>
  <c r="G27" i="13"/>
  <c r="G30" i="13" s="1"/>
  <c r="G31" i="13" s="1"/>
  <c r="C54" i="13"/>
  <c r="C13" i="13"/>
  <c r="G32" i="13" s="1"/>
  <c r="C56" i="13"/>
  <c r="C53" i="13"/>
  <c r="C57" i="13"/>
  <c r="C55" i="12"/>
  <c r="C52" i="12"/>
  <c r="C59" i="12"/>
  <c r="F29" i="12"/>
  <c r="G29" i="12" s="1"/>
  <c r="G30" i="12" s="1"/>
  <c r="G31" i="12" s="1"/>
  <c r="C15" i="12"/>
  <c r="C54" i="12"/>
  <c r="C44" i="12"/>
  <c r="C13" i="12"/>
  <c r="G32" i="12" s="1"/>
  <c r="C53" i="12"/>
  <c r="C57" i="12"/>
  <c r="H28" i="1"/>
  <c r="K65" i="1"/>
  <c r="J31" i="10"/>
  <c r="D8" i="10"/>
  <c r="E246" i="1"/>
  <c r="E245" i="1"/>
  <c r="F172" i="1"/>
  <c r="C43" i="11"/>
  <c r="C42" i="11"/>
  <c r="C41" i="11"/>
  <c r="C40" i="11"/>
  <c r="C39" i="11"/>
  <c r="F27" i="11"/>
  <c r="F28" i="11" s="1"/>
  <c r="C16" i="11"/>
  <c r="C11" i="11"/>
  <c r="E7" i="11"/>
  <c r="E5" i="11"/>
  <c r="C45" i="11"/>
  <c r="C14" i="11"/>
  <c r="C45" i="13"/>
  <c r="C58" i="11"/>
  <c r="E248" i="1" l="1"/>
  <c r="G33" i="13"/>
  <c r="C47" i="13"/>
  <c r="G36" i="13"/>
  <c r="G35" i="13"/>
  <c r="G34" i="13"/>
  <c r="G33" i="12"/>
  <c r="G35" i="12" s="1"/>
  <c r="G34" i="12"/>
  <c r="G36" i="12"/>
  <c r="C56" i="12"/>
  <c r="C47" i="12"/>
  <c r="C17" i="11"/>
  <c r="C55" i="11"/>
  <c r="C59" i="11" s="1"/>
  <c r="F29" i="11"/>
  <c r="G29" i="11" s="1"/>
  <c r="G28" i="11"/>
  <c r="G27" i="11"/>
  <c r="C46" i="11"/>
  <c r="C54" i="11" s="1"/>
  <c r="C44" i="11"/>
  <c r="C57" i="11" s="1"/>
  <c r="C51" i="11"/>
  <c r="C13" i="11"/>
  <c r="G32" i="11" s="1"/>
  <c r="C15" i="11"/>
  <c r="C60" i="13" l="1"/>
  <c r="C61" i="13"/>
  <c r="C60" i="12"/>
  <c r="C61" i="12"/>
  <c r="C56" i="11"/>
  <c r="C47" i="11"/>
  <c r="C61" i="11" s="1"/>
  <c r="C53" i="11"/>
  <c r="C52" i="11"/>
  <c r="G30" i="11"/>
  <c r="G31" i="11" s="1"/>
  <c r="G33" i="11" s="1"/>
  <c r="C60" i="11" l="1"/>
  <c r="G36" i="11"/>
  <c r="G34" i="11"/>
  <c r="G35" i="11"/>
  <c r="G89" i="1"/>
  <c r="G32" i="1" l="1"/>
  <c r="G65" i="1"/>
  <c r="F32" i="1"/>
  <c r="F31" i="1"/>
  <c r="F30" i="1"/>
  <c r="F29" i="1"/>
  <c r="E33" i="1"/>
  <c r="E32" i="1"/>
  <c r="E31" i="1"/>
  <c r="E30" i="1"/>
  <c r="E29" i="1"/>
  <c r="E22" i="1"/>
  <c r="E19" i="1"/>
  <c r="E18" i="1"/>
  <c r="G33" i="1"/>
  <c r="H33" i="1" s="1"/>
  <c r="G30" i="1"/>
  <c r="H30" i="1" s="1"/>
  <c r="G29" i="1"/>
  <c r="H29" i="1" s="1"/>
  <c r="Q280" i="1"/>
  <c r="C338" i="1"/>
  <c r="C339" i="1"/>
  <c r="C340" i="1"/>
  <c r="C344" i="1" s="1"/>
  <c r="C345" i="1" s="1"/>
  <c r="C341" i="1"/>
  <c r="B342" i="1"/>
  <c r="B344" i="1"/>
  <c r="B345" i="1" s="1"/>
  <c r="B347" i="1"/>
  <c r="C347" i="1"/>
  <c r="B354" i="1"/>
  <c r="C354" i="1"/>
  <c r="D354" i="1"/>
  <c r="E354" i="1"/>
  <c r="F354" i="1"/>
  <c r="G354" i="1"/>
  <c r="H354" i="1"/>
  <c r="I354" i="1"/>
  <c r="B356" i="1"/>
  <c r="B357" i="1" s="1"/>
  <c r="C356" i="1"/>
  <c r="C357" i="1" s="1"/>
  <c r="D356" i="1"/>
  <c r="D357" i="1" s="1"/>
  <c r="E356" i="1"/>
  <c r="E357" i="1" s="1"/>
  <c r="F356" i="1"/>
  <c r="F357" i="1" s="1"/>
  <c r="G356" i="1"/>
  <c r="G357" i="1" s="1"/>
  <c r="H356" i="1"/>
  <c r="H357" i="1" s="1"/>
  <c r="I356" i="1"/>
  <c r="I357" i="1" s="1"/>
  <c r="B359" i="1"/>
  <c r="C359" i="1"/>
  <c r="D359" i="1"/>
  <c r="E359" i="1"/>
  <c r="F359" i="1"/>
  <c r="G359" i="1"/>
  <c r="H359" i="1"/>
  <c r="I359" i="1"/>
  <c r="H367" i="1"/>
  <c r="I367" i="1"/>
  <c r="H369" i="1"/>
  <c r="H370" i="1" s="1"/>
  <c r="I369" i="1"/>
  <c r="I370" i="1" s="1"/>
  <c r="H372" i="1"/>
  <c r="I372" i="1"/>
  <c r="C24" i="10"/>
  <c r="F159" i="1"/>
  <c r="D9" i="10"/>
  <c r="F33" i="1"/>
  <c r="D7" i="10"/>
  <c r="E7" i="10" s="1"/>
  <c r="E10" i="10" s="1"/>
  <c r="H34" i="1" l="1"/>
  <c r="G34" i="1"/>
  <c r="F34" i="1"/>
  <c r="C342" i="1"/>
  <c r="C26" i="10"/>
  <c r="D10" i="10"/>
  <c r="F170" i="1" l="1"/>
  <c r="F169" i="1"/>
  <c r="H40" i="1"/>
  <c r="G40" i="1" s="1"/>
  <c r="H41" i="1"/>
  <c r="G41" i="1" s="1"/>
  <c r="H44" i="1"/>
  <c r="G44" i="1" s="1"/>
  <c r="H39" i="1"/>
  <c r="E23" i="1"/>
  <c r="E34" i="1"/>
  <c r="H45" i="1" l="1"/>
  <c r="G39" i="1"/>
  <c r="G45" i="1" s="1"/>
  <c r="C46" i="10" l="1"/>
  <c r="D51" i="10" s="1"/>
  <c r="J38" i="10"/>
  <c r="E258" i="1"/>
  <c r="E244" i="1"/>
  <c r="F184" i="1"/>
  <c r="E116" i="1"/>
  <c r="H112" i="1" s="1"/>
  <c r="F65" i="1" l="1"/>
  <c r="F191" i="1"/>
  <c r="F151" i="1"/>
  <c r="F168" i="1" s="1"/>
  <c r="F173" i="1" s="1"/>
  <c r="F158" i="1"/>
  <c r="E191" i="1" l="1"/>
  <c r="F160" i="1"/>
  <c r="E240" i="1" l="1"/>
  <c r="E243" i="1" s="1"/>
  <c r="G214" i="1"/>
  <c r="I126" i="1"/>
  <c r="I127" i="1" s="1"/>
  <c r="I119" i="1"/>
  <c r="H114" i="1"/>
  <c r="H108" i="1"/>
  <c r="G90" i="1" s="1"/>
  <c r="G91" i="1" s="1"/>
  <c r="G92" i="1" s="1"/>
  <c r="G83" i="1"/>
  <c r="G84" i="1" s="1"/>
  <c r="G85" i="1" s="1"/>
  <c r="I120" i="1" l="1"/>
  <c r="I121" i="1" s="1"/>
</calcChain>
</file>

<file path=xl/sharedStrings.xml><?xml version="1.0" encoding="utf-8"?>
<sst xmlns="http://schemas.openxmlformats.org/spreadsheetml/2006/main" count="589" uniqueCount="369">
  <si>
    <t xml:space="preserve">Les Problématiques Paie du FORFAIT JOURS </t>
  </si>
  <si>
    <t xml:space="preserve">Le FORFAIT JOURS </t>
  </si>
  <si>
    <t xml:space="preserve">Rappel : La mention Forfait Jours avec le nombre de jours prévus dans le contrat doit obligatoirement figurer sur le bulletin de paie. </t>
  </si>
  <si>
    <r>
      <t xml:space="preserve">1. </t>
    </r>
    <r>
      <rPr>
        <sz val="12"/>
        <color rgb="FF000000"/>
        <rFont val="Times New Roman"/>
        <family val="1"/>
      </rPr>
      <t>La loi fixe comme</t>
    </r>
    <r>
      <rPr>
        <b/>
        <sz val="12"/>
        <color rgb="FF000000"/>
        <rFont val="Times New Roman"/>
        <family val="1"/>
      </rPr>
      <t xml:space="preserve"> norme </t>
    </r>
    <r>
      <rPr>
        <sz val="12"/>
        <color rgb="FF000000"/>
        <rFont val="Times New Roman"/>
        <family val="1"/>
      </rPr>
      <t xml:space="preserve">un forfait de </t>
    </r>
    <r>
      <rPr>
        <b/>
        <sz val="12"/>
        <color rgb="FF000000"/>
        <rFont val="Times New Roman"/>
        <family val="1"/>
      </rPr>
      <t>218 jours sur l'année.</t>
    </r>
  </si>
  <si>
    <t>Nombre de jours dans l'année</t>
  </si>
  <si>
    <t xml:space="preserve">Nombre de Samedis et Dimanches </t>
  </si>
  <si>
    <t>Nombre de Jours ouvrés de Congés Payés</t>
  </si>
  <si>
    <t xml:space="preserve">Jours de repos </t>
  </si>
  <si>
    <t xml:space="preserve">Journée de solidarité </t>
  </si>
  <si>
    <t xml:space="preserve">Les absences pour fait de grève supposent une retenue sur salaire qui doit être effectuée en déterminant un salaire horaire fictif. </t>
  </si>
  <si>
    <t>Cette règle n’est valable qu’à défaut de précision dans l’accord collectif.</t>
  </si>
  <si>
    <t xml:space="preserve">Un accord collectif peut prévoir que toute absence inférieure à 1 journée ne fera l'objet d'aucune retenue sur salaire auquel cas  même en cas de grève </t>
  </si>
  <si>
    <t xml:space="preserve">aucune retenue ne sera effectuée. </t>
  </si>
  <si>
    <t>La cour de cassation dans un arrêt de 2008 avait fixé un mode de calcul de la retenue  que vous trouvez ci-après.</t>
  </si>
  <si>
    <t xml:space="preserve">Exemple 1. </t>
  </si>
  <si>
    <t>Un salarié soumis à un forfait de 218 jours pour une rémunération de 40 000 €,</t>
  </si>
  <si>
    <t xml:space="preserve">La durée du travail est  fixée à 35 heures réparties sur 5 jours, soit 7 heures par jour. </t>
  </si>
  <si>
    <t xml:space="preserve"> S'il fait grève 3 heures pendant la journée, la retenue sera égale à </t>
  </si>
  <si>
    <t xml:space="preserve">Salaire journalier </t>
  </si>
  <si>
    <t xml:space="preserve">40 000 /218 = </t>
  </si>
  <si>
    <t>Salaire horaire</t>
  </si>
  <si>
    <t xml:space="preserve">183, 49 / 7 </t>
  </si>
  <si>
    <t xml:space="preserve">3 heures de grève </t>
  </si>
  <si>
    <t xml:space="preserve">Exemple 2. </t>
  </si>
  <si>
    <t xml:space="preserve">Mêmes hypothèses mais le salarié  est soumis à un forfait jours de 210 jours </t>
  </si>
  <si>
    <t xml:space="preserve">On proratise son horaire mensuel  </t>
  </si>
  <si>
    <t>151,67 * 210 / 218</t>
  </si>
  <si>
    <t>On calcule l'horaire annuel</t>
  </si>
  <si>
    <t>146,10 *12</t>
  </si>
  <si>
    <t xml:space="preserve">On divise le salaire annuel par le nombre d'heures </t>
  </si>
  <si>
    <t xml:space="preserve">On multiplie le résultat par le nombre d'heures d'absence ( 3 h) </t>
  </si>
  <si>
    <t xml:space="preserve">4. Absences d'au moins 1 journée </t>
  </si>
  <si>
    <t xml:space="preserve">Méthode 1 </t>
  </si>
  <si>
    <t xml:space="preserve">Pour fixer la retenue d'un  forfait de 218 jours (qui tient compte de la journée de solidarité) </t>
  </si>
  <si>
    <t>compte tenu de 5 semaines de congés payés</t>
  </si>
  <si>
    <t xml:space="preserve">Si un salarié perçoit  un salaire annuel de 40 000 euros pour un forfait de 218 jours s'absente 1 semaine. </t>
  </si>
  <si>
    <t xml:space="preserve">* Pour obtenir la retenue pour absence on multipliera le résultat ci-dessus par 5 </t>
  </si>
  <si>
    <t xml:space="preserve">Méthode 2 </t>
  </si>
  <si>
    <t xml:space="preserve">40 000 /12  = </t>
  </si>
  <si>
    <t xml:space="preserve">En DSN on prend une moyenne de 21,67 jours par mois , donc par jour on retient </t>
  </si>
  <si>
    <t xml:space="preserve">Si le salarié s'est absenté  5 jours , la retenue sera de </t>
  </si>
  <si>
    <t xml:space="preserve">NB. Au  lieu du forfait de 21, 67 on peut prendre le nombre de jours réels du mois </t>
  </si>
  <si>
    <t>Méthode 3</t>
  </si>
  <si>
    <t xml:space="preserve">On prend le salaire annuel </t>
  </si>
  <si>
    <t xml:space="preserve">On divise le salaire annuel par le nombre de jours prévus au forfait </t>
  </si>
  <si>
    <t>40 000 /218</t>
  </si>
  <si>
    <t>On multiplie le résultat par le nombre de jours d'absence</t>
  </si>
  <si>
    <t>On constate que dans la Méthode 3 la retenue pour absence est sur-valorisée. Les Méthodes 1 et 2 sont plus proches l'une de l'autre.</t>
  </si>
  <si>
    <t>51. Combien de jours de travail un salarié en forfait jours doit -t-il à son employeur en cas d'entrée en cours d'année ?</t>
  </si>
  <si>
    <t xml:space="preserve">Méthode 1. </t>
  </si>
  <si>
    <t xml:space="preserve">Méthode simplifiée ( donnée à titre informatif) </t>
  </si>
  <si>
    <t xml:space="preserve">Nombre de Samedis et Dimanches sur cette période </t>
  </si>
  <si>
    <t xml:space="preserve">Jours fériés sur cette période  tombant en semaine </t>
  </si>
  <si>
    <t xml:space="preserve">Droits aux congés = 0 (le salarié vient d'être embauché) </t>
  </si>
  <si>
    <t>Nombre de  jours de repos auxquels il peut prétendre sur cette période</t>
  </si>
  <si>
    <t xml:space="preserve">52. A combien de jours de repos peut-t-il prétendre sur cette période ? </t>
  </si>
  <si>
    <t>Le tableau ci-dessus indique la méthode de proratisation utilisée.</t>
  </si>
  <si>
    <t xml:space="preserve">Le salarié a un contrat de 218 jours </t>
  </si>
  <si>
    <t xml:space="preserve">Cette méthode - simplifiée - ne tient pas compte des jours de congés non pris par le salarié </t>
  </si>
  <si>
    <t>53. Combien de jours de travail un salarié en forfait jours doit -t-il à son employeur en cas d'entrée en cours d'année ?</t>
  </si>
  <si>
    <t xml:space="preserve">La méthode qui suit prend en compte le nombre de jours de congés non acquis dans la proratisation </t>
  </si>
  <si>
    <t xml:space="preserve">des jours de travail dus par le salarié. </t>
  </si>
  <si>
    <t xml:space="preserve">Compteur </t>
  </si>
  <si>
    <t xml:space="preserve">Date de début de l'arrêt </t>
  </si>
  <si>
    <t xml:space="preserve">Date de fin de l'arrêt </t>
  </si>
  <si>
    <t xml:space="preserve">Nombre de jours calendaires </t>
  </si>
  <si>
    <t xml:space="preserve">Nombre de Samedis </t>
  </si>
  <si>
    <t xml:space="preserve">Nombre de jours ouvrables </t>
  </si>
  <si>
    <t>Nombre de jours ouvrés</t>
  </si>
  <si>
    <t xml:space="preserve">2. Détermination du nombre de jours de congés payés non  acquis </t>
  </si>
  <si>
    <t xml:space="preserve">Les régles d'arrondi applicables font que ce nombre de congés acquis est de 3 jours </t>
  </si>
  <si>
    <t xml:space="preserve">Pour un décompte des congés en jours ouvrés il a donc sur cette période 25 - 3  = 22 jours ouvrés de CP </t>
  </si>
  <si>
    <t xml:space="preserve">On prend ici l'hypothèse que la journée de solidarité est due sur la période. </t>
  </si>
  <si>
    <t xml:space="preserve">jours de travail </t>
  </si>
  <si>
    <t>Nombre de samedis et dimanches</t>
  </si>
  <si>
    <t>Congés payés acquis</t>
  </si>
  <si>
    <t>Jours fériés tombant 1 jour ouvré</t>
  </si>
  <si>
    <t xml:space="preserve"> les règles d'arrondi à respecter.</t>
  </si>
  <si>
    <t xml:space="preserve">Méthode 3 </t>
  </si>
  <si>
    <t>Solution alternative</t>
  </si>
  <si>
    <t xml:space="preserve">Dans telle convention qui prévoit que les congés acquis sur la période de référence  2019 / 2020 soient pris avant le 31 Décembre  2020 </t>
  </si>
  <si>
    <t xml:space="preserve">un calcul des congés non acquis différent est proposé. </t>
  </si>
  <si>
    <t>Soit un salarié entré le 01/11/2020</t>
  </si>
  <si>
    <t xml:space="preserve">1.  Détermination du nombre de jours de congés payés non  acquis </t>
  </si>
  <si>
    <t xml:space="preserve">Le salarié étant entré dans l'entreprise le 01/11/2020 </t>
  </si>
  <si>
    <t xml:space="preserve">Le tableau ci-dessus donne 4, 17 , il fait le calcul 25*2/12 = 4, 17 ( arrondi 2 chiffres après la virgule) </t>
  </si>
  <si>
    <t>25 jours ouvrés de CP pour 12  mois donc si 2 mois de travail 25*2/12</t>
  </si>
  <si>
    <t>et n'a pas acquis le complément à  25 soit  25 -4,17  =20,83</t>
  </si>
  <si>
    <t>Les forfaits jours étant sur une base de 216 jours ce salarié a un forfait  annuel de 216 + 20,83 = 236,83</t>
  </si>
  <si>
    <t xml:space="preserve">3. Sur la période qui va du 01/11/2020 au 31/12/ 2020 combien de jours de travail doit-t-il à son employeur ? </t>
  </si>
  <si>
    <t xml:space="preserve">Sur la période du 01/11/2020 au 31/12/2020   il y a  2  mois </t>
  </si>
  <si>
    <t xml:space="preserve">(216 + 20,83 ) *  2 / 12  = </t>
  </si>
  <si>
    <t xml:space="preserve">Avec une convention d'arrondi à </t>
  </si>
  <si>
    <t xml:space="preserve">Il doit donc </t>
  </si>
  <si>
    <t xml:space="preserve">39,5 jours de travail </t>
  </si>
  <si>
    <t>4. Nombre de jours de repos sur la période du 01/11/2020 au 31/12/2020</t>
  </si>
  <si>
    <t>Décembre</t>
  </si>
  <si>
    <t xml:space="preserve">Novembre </t>
  </si>
  <si>
    <t>Octobre</t>
  </si>
  <si>
    <t xml:space="preserve">Septembre </t>
  </si>
  <si>
    <t>Août</t>
  </si>
  <si>
    <t>Juillet</t>
  </si>
  <si>
    <t>Juin</t>
  </si>
  <si>
    <t>Mai</t>
  </si>
  <si>
    <t>Avril</t>
  </si>
  <si>
    <t>Mars</t>
  </si>
  <si>
    <t>Février</t>
  </si>
  <si>
    <t>Janvier</t>
  </si>
  <si>
    <t xml:space="preserve">Nombre de jours potentiellement dus </t>
  </si>
  <si>
    <t xml:space="preserve">Arrondi </t>
  </si>
  <si>
    <t xml:space="preserve">CP non acquis </t>
  </si>
  <si>
    <t xml:space="preserve">Nombre de jours dus </t>
  </si>
  <si>
    <t xml:space="preserve">Convention d'arrondis (tableau) </t>
  </si>
  <si>
    <t xml:space="preserve">MATRICE 3 VALORISATION ABSENCES </t>
  </si>
  <si>
    <t xml:space="preserve">Date de début du mois </t>
  </si>
  <si>
    <t xml:space="preserve">Date de fin du mois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</si>
  <si>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</si>
  <si>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</si>
  <si>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</si>
  <si>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</si>
  <si>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</si>
  <si>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</si>
  <si>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</si>
  <si>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</si>
  <si>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</si>
  <si>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</si>
  <si>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</si>
  <si>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</si>
  <si>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</si>
  <si>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</si>
  <si>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</si>
  <si>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</si>
  <si>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</si>
  <si>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</si>
  <si>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 xml:space="preserve">Cas des temps partiels. </t>
  </si>
  <si>
    <t xml:space="preserve">Cas de la sortie en cours de mois </t>
  </si>
  <si>
    <t xml:space="preserve">Heures supplémentaires des forfait jours </t>
  </si>
  <si>
    <t xml:space="preserve">Plafond mensuel de la SS </t>
  </si>
  <si>
    <t xml:space="preserve">Comme il est entré le 01/07 on effectue un prorata (par exemple sur les jours calendaires) </t>
  </si>
  <si>
    <t xml:space="preserve">NB. Certaines conventions effectuent un calcul différent  en incluant  les jours de repos </t>
  </si>
  <si>
    <t>On divise le salaire  annuel par  12</t>
  </si>
  <si>
    <t>Nombre de jours  calendaires entre le 01/07 et le 31/12</t>
  </si>
  <si>
    <t xml:space="preserve">Nombre de jours ouvrés </t>
  </si>
  <si>
    <t>La loi ne précise pas la méthode de calcul à adopter pour déterminer le nombre de jours travaillés des salariés entrés ou sortis en cours d’année.</t>
  </si>
  <si>
    <t>Afin de déterminer le nombre de jours de travail pour le reste de l'année, il conviendra de soustraire au nombre de jours calendaires restant à courir :</t>
  </si>
  <si>
    <t>– le nombre de samedis et de dimanches ;</t>
  </si>
  <si>
    <t>– le prorata du nombre de congés supplémentaires pour l'année considérée.</t>
  </si>
  <si>
    <t>Afin de déterminer le nombre de jours travaillés de référence, il convient de soustraire au nombre de jours calendaires écoulés dans l'année considérée avant le départ :</t>
  </si>
  <si>
    <t>– les jours fériés coïncidant avec un jour ouvré depuis le début d'année ;</t>
  </si>
  <si>
    <t xml:space="preserve">Date d'embauche </t>
  </si>
  <si>
    <t xml:space="preserve">Dernier jour de l'année </t>
  </si>
  <si>
    <t xml:space="preserve">Nombre de jours calendaires de présence </t>
  </si>
  <si>
    <t xml:space="preserve">1 er jour de l'année </t>
  </si>
  <si>
    <t xml:space="preserve">1 er jour  de l'année </t>
  </si>
  <si>
    <t>Nombre de jours ouvrés de présence</t>
  </si>
  <si>
    <t xml:space="preserve">Nombre de Samedis et de Dimanches entre 2 dates </t>
  </si>
  <si>
    <t xml:space="preserve">2. Retrait des samedis et dimanches restants : 253 – 72 (samedis et dimanches) = 181 </t>
  </si>
  <si>
    <t xml:space="preserve">– le nombre de jours fériés coïncidant avec un jour ouvré à échoir avant la fin de l'année </t>
  </si>
  <si>
    <t xml:space="preserve">5. Entrée  en cours de mois </t>
  </si>
  <si>
    <t>6. Départ en cours d'année</t>
  </si>
  <si>
    <t xml:space="preserve">Date  de sortie </t>
  </si>
  <si>
    <t xml:space="preserve">Plus 1  Journée de solidarité </t>
  </si>
  <si>
    <t>Cependant, depuis la loi Travail, c’est l’accord collectif qui doit fixer les conditions de prise en compte pour la rémunération des salariés, des arrivées et des départs en cours de période.</t>
  </si>
  <si>
    <r>
      <t xml:space="preserve">Dimanche </t>
    </r>
    <r>
      <rPr>
        <b/>
        <sz val="10"/>
        <color rgb="FF000000"/>
        <rFont val="Calibri"/>
        <family val="2"/>
        <charset val="1"/>
      </rPr>
      <t>1er janvier 2023</t>
    </r>
    <r>
      <rPr>
        <sz val="10"/>
        <color rgb="FF000000"/>
        <rFont val="Calibri"/>
        <family val="2"/>
        <charset val="1"/>
      </rPr>
      <t xml:space="preserve"> : Jour de l’An</t>
    </r>
  </si>
  <si>
    <r>
      <t xml:space="preserve">Lundi </t>
    </r>
    <r>
      <rPr>
        <b/>
        <sz val="10"/>
        <color rgb="FF000000"/>
        <rFont val="Calibri"/>
        <family val="2"/>
        <charset val="1"/>
      </rPr>
      <t>10 avril</t>
    </r>
    <r>
      <rPr>
        <sz val="10"/>
        <color rgb="FF000000"/>
        <rFont val="Calibri"/>
        <family val="2"/>
        <charset val="1"/>
      </rPr>
      <t xml:space="preserve"> : Pâques</t>
    </r>
  </si>
  <si>
    <r>
      <t xml:space="preserve">Lundi </t>
    </r>
    <r>
      <rPr>
        <b/>
        <sz val="10"/>
        <color rgb="FF000000"/>
        <rFont val="Calibri"/>
        <family val="2"/>
        <charset val="1"/>
      </rPr>
      <t>1er mai</t>
    </r>
    <r>
      <rPr>
        <sz val="10"/>
        <color rgb="FF000000"/>
        <rFont val="Calibri"/>
        <family val="2"/>
        <charset val="1"/>
      </rPr>
      <t xml:space="preserve"> : fête du Travail</t>
    </r>
  </si>
  <si>
    <r>
      <t xml:space="preserve">Lundi  </t>
    </r>
    <r>
      <rPr>
        <b/>
        <sz val="10"/>
        <color rgb="FF000000"/>
        <rFont val="Calibri"/>
        <family val="2"/>
        <charset val="1"/>
      </rPr>
      <t>8 mai</t>
    </r>
    <r>
      <rPr>
        <sz val="10"/>
        <color rgb="FF000000"/>
        <rFont val="Calibri"/>
        <family val="2"/>
        <charset val="1"/>
      </rPr>
      <t xml:space="preserve"> : Victoire 1945</t>
    </r>
  </si>
  <si>
    <r>
      <t>Jeudi 18</t>
    </r>
    <r>
      <rPr>
        <b/>
        <sz val="10"/>
        <color rgb="FF000000"/>
        <rFont val="Calibri"/>
        <family val="2"/>
        <charset val="1"/>
      </rPr>
      <t xml:space="preserve"> mai</t>
    </r>
    <r>
      <rPr>
        <sz val="10"/>
        <color rgb="FF000000"/>
        <rFont val="Calibri"/>
        <family val="2"/>
        <charset val="1"/>
      </rPr>
      <t xml:space="preserve"> : Ascension</t>
    </r>
  </si>
  <si>
    <r>
      <t xml:space="preserve">Lundi </t>
    </r>
    <r>
      <rPr>
        <b/>
        <sz val="10"/>
        <color rgb="FF000000"/>
        <rFont val="Calibri"/>
        <family val="2"/>
        <charset val="1"/>
      </rPr>
      <t>29 Mai</t>
    </r>
    <r>
      <rPr>
        <sz val="10"/>
        <color rgb="FF000000"/>
        <rFont val="Calibri"/>
        <family val="2"/>
        <charset val="1"/>
      </rPr>
      <t xml:space="preserve"> : Pentecôte</t>
    </r>
  </si>
  <si>
    <r>
      <rPr>
        <b/>
        <sz val="10"/>
        <color rgb="FF000000"/>
        <rFont val="Calibri"/>
        <family val="2"/>
        <charset val="1"/>
      </rPr>
      <t>Vendredi 14 juillet</t>
    </r>
    <r>
      <rPr>
        <sz val="10"/>
        <color rgb="FF000000"/>
        <rFont val="Calibri"/>
        <family val="2"/>
        <charset val="1"/>
      </rPr>
      <t xml:space="preserve"> : Fête nationale</t>
    </r>
  </si>
  <si>
    <r>
      <t xml:space="preserve">Mardi  </t>
    </r>
    <r>
      <rPr>
        <b/>
        <sz val="10"/>
        <color rgb="FF000000"/>
        <rFont val="Calibri"/>
        <family val="2"/>
        <charset val="1"/>
      </rPr>
      <t>15 août</t>
    </r>
    <r>
      <rPr>
        <sz val="10"/>
        <color rgb="FF000000"/>
        <rFont val="Calibri"/>
        <family val="2"/>
        <charset val="1"/>
      </rPr>
      <t xml:space="preserve"> : Assomption</t>
    </r>
  </si>
  <si>
    <r>
      <t xml:space="preserve">Mercredi  </t>
    </r>
    <r>
      <rPr>
        <b/>
        <sz val="10"/>
        <color rgb="FF000000"/>
        <rFont val="Calibri"/>
        <family val="2"/>
        <charset val="1"/>
      </rPr>
      <t>1er novembre</t>
    </r>
    <r>
      <rPr>
        <sz val="10"/>
        <color rgb="FF000000"/>
        <rFont val="Calibri"/>
        <family val="2"/>
        <charset val="1"/>
      </rPr>
      <t xml:space="preserve"> : Toussaint</t>
    </r>
  </si>
  <si>
    <r>
      <t xml:space="preserve">Samedi </t>
    </r>
    <r>
      <rPr>
        <b/>
        <sz val="10"/>
        <color rgb="FF000000"/>
        <rFont val="Calibri"/>
        <family val="2"/>
        <charset val="1"/>
      </rPr>
      <t>11 novembre</t>
    </r>
    <r>
      <rPr>
        <sz val="10"/>
        <color rgb="FF000000"/>
        <rFont val="Calibri"/>
        <family val="2"/>
        <charset val="1"/>
      </rPr>
      <t xml:space="preserve"> : Armistice 1918</t>
    </r>
  </si>
  <si>
    <r>
      <t xml:space="preserve">Lundi  </t>
    </r>
    <r>
      <rPr>
        <b/>
        <sz val="10"/>
        <color rgb="FF000000"/>
        <rFont val="Calibri"/>
        <family val="2"/>
        <charset val="1"/>
      </rPr>
      <t xml:space="preserve">25 décembre </t>
    </r>
    <r>
      <rPr>
        <sz val="10"/>
        <color rgb="FF000000"/>
        <rFont val="Calibri"/>
        <family val="2"/>
        <charset val="1"/>
      </rPr>
      <t xml:space="preserve"> : Noël</t>
    </r>
  </si>
  <si>
    <t xml:space="preserve">Jours Fériés 2024  tombant 1 jour ouvré </t>
  </si>
  <si>
    <t>Lundi 1er Janvier</t>
  </si>
  <si>
    <t>Lundi 1 er  Avril</t>
  </si>
  <si>
    <t>Mercredi  1er Mai</t>
  </si>
  <si>
    <t>Mercredi  8 Mai</t>
  </si>
  <si>
    <t>Jeudi 9 Mai</t>
  </si>
  <si>
    <t xml:space="preserve">Lundi 20 Mai </t>
  </si>
  <si>
    <t>Dimanche 14 Juillet</t>
  </si>
  <si>
    <t>Jeudi  15 Août</t>
  </si>
  <si>
    <t>Vendredi  1er Novembre</t>
  </si>
  <si>
    <t>Lundi 11 Novembre</t>
  </si>
  <si>
    <t>Mercredi  25 Décembre</t>
  </si>
  <si>
    <t>Méthode 2</t>
  </si>
  <si>
    <t xml:space="preserve">1. Calcul du nombre de jours calendaires entre ces 2 dates  = 253 </t>
  </si>
  <si>
    <t>Nombre de jours fériés restant à échoir</t>
  </si>
  <si>
    <t>Nombre de jours de repos</t>
  </si>
  <si>
    <t>Nombre de jours de travail</t>
  </si>
  <si>
    <t xml:space="preserve">A titre d'exemple, pour un salarié partant le 23 avril (et présent toute l'année précédente) : 114 – 32 (samedis et dimanches) – 2 jours fériés (Lundi 1er  janvier et lundi de Pâques) </t>
  </si>
  <si>
    <t>– 4 jours de prorata des jours de repos supplémentaires (calculé comme suit 10 × [114/366]).</t>
  </si>
  <si>
    <t>Nombre de jours de repos pris</t>
  </si>
  <si>
    <t>Cf matrice Val Abs.</t>
  </si>
  <si>
    <t xml:space="preserve">Nombre de Dimanches </t>
  </si>
  <si>
    <t xml:space="preserve">Nb. de Jours fériés sur cette période </t>
  </si>
  <si>
    <t xml:space="preserve">Congés payés </t>
  </si>
  <si>
    <t xml:space="preserve">Pour 1 année complète </t>
  </si>
  <si>
    <t>Mais il acquis sur la période du 01/05 au 31/05 2,08 jours ouvrés de CP arrondis à 3 jours</t>
  </si>
  <si>
    <t xml:space="preserve">non acquis. (autant de jours de travail donc) </t>
  </si>
  <si>
    <t xml:space="preserve">Pour déterminer le nombre de jours de repos auxquels ce salarié peut prétendre, nous allons raisonner  de la façon suivante : </t>
  </si>
  <si>
    <t xml:space="preserve">Son forfait est donc de 218 + 22 = 240 jours </t>
  </si>
  <si>
    <t xml:space="preserve">L'accord collectif doit préciser les modalités de détermination des jours de repos acquis et fixera donc en particulier </t>
  </si>
  <si>
    <t>Entrée dans l'entreprise le 01/07</t>
  </si>
  <si>
    <t xml:space="preserve">Journée de solidarité effectuée </t>
  </si>
  <si>
    <t xml:space="preserve">Nombre de jours entre le </t>
  </si>
  <si>
    <t xml:space="preserve">et le </t>
  </si>
  <si>
    <t xml:space="preserve">Nombre de Samedis et de Dimanches sur cette période </t>
  </si>
  <si>
    <t>S et D</t>
  </si>
  <si>
    <t xml:space="preserve">Forfait jours </t>
  </si>
  <si>
    <t xml:space="preserve">Nombre de jours de RTT </t>
  </si>
  <si>
    <t xml:space="preserve">arrondi à </t>
  </si>
  <si>
    <t>Ex 1</t>
  </si>
  <si>
    <t xml:space="preserve">Ex 2 </t>
  </si>
  <si>
    <t xml:space="preserve">jours de travail dus à l'employeur </t>
  </si>
  <si>
    <t xml:space="preserve">Forfait </t>
  </si>
  <si>
    <t xml:space="preserve">jours ouvrés de CP </t>
  </si>
  <si>
    <t>jours fériés tombant un jour ouvré</t>
  </si>
  <si>
    <t xml:space="preserve">Proratisation </t>
  </si>
  <si>
    <t xml:space="preserve">jours calendaires de présence sur les </t>
  </si>
  <si>
    <t xml:space="preserve">jours </t>
  </si>
  <si>
    <t>jours de travail dus à l'employeur</t>
  </si>
  <si>
    <t xml:space="preserve">NB. Le plafond de la Sécurité Sociale en cas de forfait inférieur à la norme de 218 jours n'est pas OBLIGATOIREMENT proratisé  mais il peut l'être depuis Avril 2021. </t>
  </si>
  <si>
    <t>Mais l'accord collectif ne pourra pas prévoir une fouchette de jours à effectuer par un salarié selon les années. Les jours de repos seront ajustés compte tenu du nombre</t>
  </si>
  <si>
    <t xml:space="preserve">de Samedis /  Dimanches et de Jours fériés tombant un jour ouvré </t>
  </si>
  <si>
    <t xml:space="preserve">Nombre de jours fériés tombant un jour ouvré </t>
  </si>
  <si>
    <t xml:space="preserve">Privilégiez Méthode 2 </t>
  </si>
  <si>
    <t xml:space="preserve">Norme </t>
  </si>
  <si>
    <t xml:space="preserve">Sur cette période, Jours fériés tombant sur la semaine </t>
  </si>
  <si>
    <t xml:space="preserve">Pas de droits à CP  acquis </t>
  </si>
  <si>
    <t xml:space="preserve">Norme Forfait 218 jours </t>
  </si>
  <si>
    <t>jours fériés ne tombent pas un samedi   ou un dimanche</t>
  </si>
  <si>
    <t>253*184/366</t>
  </si>
  <si>
    <t xml:space="preserve">La méthode 1 me semble plus rigoureuse </t>
  </si>
  <si>
    <t xml:space="preserve">Le salarié doit 168 jours de travail à son employeur  mais a droit à 3 jours de CP -  MAIS avant prise en compte des jours de repos compris dans son forfait </t>
  </si>
  <si>
    <t>arrondi à 4 ou 3 suivant les accords</t>
  </si>
  <si>
    <t xml:space="preserve">Variable d'ajustement pour obtenir un forfait de 218 jours </t>
  </si>
  <si>
    <t xml:space="preserve">Mercredi 1 er Janvier </t>
  </si>
  <si>
    <t xml:space="preserve">Lundi 21 Avril </t>
  </si>
  <si>
    <t xml:space="preserve">Jeudi 1 er Mai </t>
  </si>
  <si>
    <t xml:space="preserve">Jeudi 8 Mai </t>
  </si>
  <si>
    <t xml:space="preserve">Jeudi 29 Mai </t>
  </si>
  <si>
    <t>Lundi 9 juin</t>
  </si>
  <si>
    <t>Lundi 14 Juillet</t>
  </si>
  <si>
    <t xml:space="preserve">Vendredi 15 Aout </t>
  </si>
  <si>
    <t>Samedi 1 er Novembre</t>
  </si>
  <si>
    <t xml:space="preserve">Mardi 11 Novembre </t>
  </si>
  <si>
    <t xml:space="preserve">Jeudi 25 Décembre </t>
  </si>
  <si>
    <t xml:space="preserve">Arrêt antérieur au 01/04/2025 </t>
  </si>
  <si>
    <t xml:space="preserve">Des généralités utiles sur l'arrêt maladie  </t>
  </si>
  <si>
    <t>https://culture-rh.com/ijss-maladie/</t>
  </si>
  <si>
    <t xml:space="preserve">Saisir les zones en jaune seulement </t>
  </si>
  <si>
    <t xml:space="preserve">Limites 1,8 SMIC / 1,4 SMIC </t>
  </si>
  <si>
    <t>Montant maximum de l'IJSS Maladie non professionnelle à compter du 01/04/2025</t>
  </si>
  <si>
    <t xml:space="preserve">Montant maximum de l'IJSS Maladie pour les arrêts ayant débuté avant le  01/4/2025 </t>
  </si>
  <si>
    <t xml:space="preserve">Base de calcul de l'absence </t>
  </si>
  <si>
    <t xml:space="preserve">Nombre de jours de carence </t>
  </si>
  <si>
    <t xml:space="preserve">Nombre d'IJSS </t>
  </si>
  <si>
    <t xml:space="preserve">SMICH 202N </t>
  </si>
  <si>
    <t>SMICH s'appliquant au 01/01/2025</t>
  </si>
  <si>
    <t>SMICH 202N-1</t>
  </si>
  <si>
    <t>SMICH s'appliquant au 31/12/2024</t>
  </si>
  <si>
    <t>C</t>
  </si>
  <si>
    <t>D</t>
  </si>
  <si>
    <t>E</t>
  </si>
  <si>
    <t>F</t>
  </si>
  <si>
    <t>G</t>
  </si>
  <si>
    <t xml:space="preserve">H </t>
  </si>
  <si>
    <t xml:space="preserve">MATRICE DE  CALCUL    IJSS MALADIE   2025 (arrêt ayant débuté antérieurement au 01/04/2025) </t>
  </si>
  <si>
    <t>Col 1</t>
  </si>
  <si>
    <t>Col 2</t>
  </si>
  <si>
    <t>Col 3</t>
  </si>
  <si>
    <t>Col 4</t>
  </si>
  <si>
    <t xml:space="preserve">Col 5 </t>
  </si>
  <si>
    <t>Col 6</t>
  </si>
  <si>
    <t xml:space="preserve">ANNEE </t>
  </si>
  <si>
    <t xml:space="preserve">MOIS </t>
  </si>
  <si>
    <t xml:space="preserve">SALAIRES DE REFERENCE  BRUTS </t>
  </si>
  <si>
    <t>Limite de 1,8 SMIC ou 1,4 SMIC ( à compter du 01/04/2025)</t>
  </si>
  <si>
    <t xml:space="preserve">CALCUL IJSS MIN( Col 5;Col7) </t>
  </si>
  <si>
    <t>202N-1</t>
  </si>
  <si>
    <t>MOIS N-3</t>
  </si>
  <si>
    <t xml:space="preserve">DECEMBRE </t>
  </si>
  <si>
    <t>202N</t>
  </si>
  <si>
    <t>Mois N-1</t>
  </si>
  <si>
    <t>JANVIER</t>
  </si>
  <si>
    <t>Mois N-3</t>
  </si>
  <si>
    <t>FEVRIER</t>
  </si>
  <si>
    <t xml:space="preserve">TOTAL </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</si>
  <si>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</si>
  <si>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</si>
  <si>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</si>
  <si>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</si>
  <si>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</si>
  <si>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</si>
  <si>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</si>
  <si>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L'arrondi sera précisé dans l'accord d'entreprise ou la convention </t>
  </si>
  <si>
    <t xml:space="preserve">Puis rajouter la journée de solidarité pour avoir le nombre de jours de travail dus par le salarié </t>
  </si>
  <si>
    <t xml:space="preserve">Le salarié doit  à son employeur 165 jours de travail  (cf tableau ci-dessus) </t>
  </si>
  <si>
    <t>Proratisation du nombre de jours de repos (9) cf ci-dessus</t>
  </si>
  <si>
    <t xml:space="preserve">Jours Fériés 2025  tombant 1 jour ouvré </t>
  </si>
  <si>
    <r>
      <t xml:space="preserve">(1) Cependant : La durée maximale de l'amplitude journalière de travail </t>
    </r>
    <r>
      <rPr>
        <b/>
        <sz val="11"/>
        <color theme="1"/>
        <rFont val="Times New Roman"/>
        <family val="1"/>
      </rPr>
      <t>ne peut légalement excéder 13 heures, sauf dérogation</t>
    </r>
    <r>
      <rPr>
        <sz val="11"/>
        <color theme="1"/>
        <rFont val="Times New Roman"/>
        <family val="1"/>
      </rPr>
      <t>. Donc sur 6 jours : 78 heures. Par ailleurs Le salarié en forfait jours a droit à un repos hebdomadaire d’une durée minimale de 24 heures consécutives auxquelles s’ajoutent les 11 heures du repos quotidien.</t>
    </r>
  </si>
  <si>
    <t xml:space="preserve">Jeudi 1 er Janvier </t>
  </si>
  <si>
    <t xml:space="preserve">Lundi 6 Avril </t>
  </si>
  <si>
    <t xml:space="preserve">Vendredi 1 er Mai </t>
  </si>
  <si>
    <t>Vendredi 8 Mai</t>
  </si>
  <si>
    <t xml:space="preserve">Jeudi  14 Mai </t>
  </si>
  <si>
    <t xml:space="preserve">Lundi 25 Mai </t>
  </si>
  <si>
    <t xml:space="preserve">Mardi 14 Juillet </t>
  </si>
  <si>
    <t xml:space="preserve">Samedi 15 Août </t>
  </si>
  <si>
    <t xml:space="preserve">Dimanche 1 er Novembre </t>
  </si>
  <si>
    <t xml:space="preserve">Mercredi 11 Novembre </t>
  </si>
  <si>
    <t xml:space="preserve">Vendredi 25 Décembre </t>
  </si>
  <si>
    <t xml:space="preserve">Forfait 216 jours en 2026 </t>
  </si>
  <si>
    <t>40000/1753,25</t>
  </si>
  <si>
    <t xml:space="preserve">158,10 * 5 </t>
  </si>
  <si>
    <t>Jours fériés</t>
  </si>
  <si>
    <t xml:space="preserve">40 000 / 264 = </t>
  </si>
  <si>
    <t xml:space="preserve">151,52 * 5 = </t>
  </si>
  <si>
    <t>A titre d'exemple, pour un salarié entré le 23 avril 2026</t>
  </si>
  <si>
    <t xml:space="preserve">Utilisez éventuellement  la feuille Absences </t>
  </si>
  <si>
    <t xml:space="preserve">3. Retrait des jours fériés coïncidant avec un jour ouvré à échoir avant la fin de l'année : 181 – 8 = 173 ( cf le tableau des jours fériés en 2026) </t>
  </si>
  <si>
    <t xml:space="preserve">arrondi à 8 </t>
  </si>
  <si>
    <t>Nombre de jours de repos restant à prendre  11 ( jours acquis sur une année compléte en 2026) *253 / 365</t>
  </si>
  <si>
    <t>Cellule 202</t>
  </si>
  <si>
    <t>Cellule 203</t>
  </si>
  <si>
    <t>Cellule 204</t>
  </si>
  <si>
    <t>'=E202-E203+1</t>
  </si>
  <si>
    <t>'=NB.JOURS.OUVRES(E203;E202)</t>
  </si>
  <si>
    <t>Jours de repos acquis sur l'année 11 * 113 / 365</t>
  </si>
  <si>
    <t>arrondis à 4</t>
  </si>
  <si>
    <r>
      <t xml:space="preserve">4. Proratisation  des </t>
    </r>
    <r>
      <rPr>
        <b/>
        <sz val="11"/>
        <rFont val="Times New Roman"/>
        <family val="1"/>
      </rPr>
      <t>jours de repos</t>
    </r>
    <r>
      <rPr>
        <sz val="11"/>
        <rFont val="Times New Roman"/>
        <family val="1"/>
      </rPr>
      <t xml:space="preserve"> restant à prendre  : 173 –8 = 165  (le prorata suivant  : 11 jours acquis × [253/365]).permet de déterminer le nombre de jours de repos restant à prendre </t>
    </r>
  </si>
  <si>
    <t>Entrée le 01/07/2026</t>
  </si>
  <si>
    <t>11 *184 / 365</t>
  </si>
  <si>
    <t xml:space="preserve">Le salarié doit donc 122  jours de travail. </t>
  </si>
  <si>
    <t>Entrée  dans l'entreprise le 02/05/2026</t>
  </si>
  <si>
    <t xml:space="preserve">Il a  droit à 6 jours de repos. </t>
  </si>
  <si>
    <t xml:space="preserve">6*184/ 365 </t>
  </si>
  <si>
    <t>Feuille ABS 3</t>
  </si>
  <si>
    <t>3 jours ouvrables de  de CP acquis entre le 02/05/2026 et 31/05/2026</t>
  </si>
  <si>
    <r>
      <t>1. Recalcul du forfait jours</t>
    </r>
    <r>
      <rPr>
        <sz val="12"/>
        <rFont val="Times New Roman"/>
        <family val="1"/>
      </rPr>
      <t xml:space="preserve"> en tenant compte d'un droit aux congés payés nul et des 11 jours fériés coïncidant avec un jour ouvré sur l'ensemble de l'année N.</t>
    </r>
  </si>
  <si>
    <t>Nous obtenons donc : 218 jours + 25 jours + 11  jours= 254  jours.</t>
  </si>
  <si>
    <t>11 jours fériés</t>
  </si>
  <si>
    <t>Le salarié a acquis 2,08 jours de congés sur la période de référence  2025/ 2026</t>
  </si>
  <si>
    <t xml:space="preserve">3. Sur la période qui va du 02/05/2026  au 31/12/ 2026 combien de jours de travail doit-t-il à son employeur ? </t>
  </si>
  <si>
    <t xml:space="preserve">Sur la période du 02/05/2026 au 31/12/2026   il y a  174 jours ouvrés, jours fériés compris. </t>
  </si>
  <si>
    <t xml:space="preserve">Il devra donc à son employeur 165 jours de CP mais aura un droit de 3 jours qu'il pourra exercer jusqu'au 31/05/2026. </t>
  </si>
  <si>
    <t>en 2026</t>
  </si>
  <si>
    <t>'=NB.JOURS.OUVRES(C20;C22)</t>
  </si>
  <si>
    <t xml:space="preserve">jours calendaires </t>
  </si>
  <si>
    <t>=11*184/365</t>
  </si>
  <si>
    <t xml:space="preserve">Si Journée de soldarité non encore effectuée </t>
  </si>
  <si>
    <t xml:space="preserve">Jours fériés 2026 tombant 1 jour ouvré </t>
  </si>
  <si>
    <t>Nombre de jours fériés tombant un jour ouvré</t>
  </si>
  <si>
    <t xml:space="preserve"> Le forfait jours est un mode d’organisation du temps de travail selon un décompte en journées et/ou demi-journées de travail sur un exercice déterminé (année civile par exemple) . Il permet d’écarter l’application de la législation relative aux heures supplémentaires ainsi qu’à la durée maximale journalière et hebdomadaire du travail 1. Le plafond annuel en jours constitue la limite maximale théorique de jours travaillés, à savoir, 218 jours. Pour autant, ce plafond peut être dépassé dans l’hypothèse d’un rachat de jours de repos dans des conditions strictement limitées .lL s’applique aux salariés qui disposent d’une grande autonomie dans l’organisation de leur temps de travail. Les cadres sont les principaux bénéficiaires de ce dispositif, mais il n’est pas exclusif à eux. Les salariés non-cadres peuvent également être soumis au forfait jours, à condition que leur convention collective le prévoie1.Il est important de noter que le recours au forfait jours nécessite impérativement un accord collectif ou une convention collective organisant son recours .</t>
  </si>
  <si>
    <t xml:space="preserve">Ce nombre de jours travaillés résulte du calcul suivant  pour 2026 </t>
  </si>
  <si>
    <t xml:space="preserve">Une entreprise peut très bien fixer avec ses salariés un forfait inférieur ( par ex de 216 jours) . Dans ce cas le salarié aura droit à des jours de repos supplémentaires. </t>
  </si>
  <si>
    <t xml:space="preserve">2. </t>
  </si>
  <si>
    <r>
      <t xml:space="preserve">Nombre de jours fériés tombant un jour ouvré </t>
    </r>
    <r>
      <rPr>
        <b/>
        <sz val="9"/>
        <color rgb="FF000000"/>
        <rFont val="Times New Roman"/>
        <family val="1"/>
      </rPr>
      <t xml:space="preserve"> Cf Tableaux ci-dessous </t>
    </r>
  </si>
  <si>
    <t xml:space="preserve">Détermination du nombre de jours de repos : Le nombre de jours de repos peut être différent suivant les années ; ainsi : </t>
  </si>
  <si>
    <t xml:space="preserve">Pour déterminer le nombre de Samedis et Dimanches ainsi que le nombre de jours calendaires vous pouvez utiliser les matrices </t>
  </si>
  <si>
    <r>
      <t xml:space="preserve">figurant dans les feuilles ABS. Le nombre de jours fériés tombant un jour ouvré figurant  au paragraphe 3 </t>
    </r>
    <r>
      <rPr>
        <b/>
        <sz val="12"/>
        <color rgb="FF000000"/>
        <rFont val="Times New Roman"/>
        <family val="1"/>
      </rPr>
      <t xml:space="preserve">Tableaux de jours fériés </t>
    </r>
  </si>
  <si>
    <t xml:space="preserve">3. Tableaux des  jours fériés </t>
  </si>
  <si>
    <t xml:space="preserve">4. les absences pour grève </t>
  </si>
  <si>
    <t>et de 9   jours fériés chômés (hors journée de solidarité)  correspondant à un jour habituellement travaillé</t>
  </si>
  <si>
    <t>chaque jour d'absence sera calculée en 253e (218 + 25 + 9) du salaire annuel.</t>
  </si>
  <si>
    <t>* On va diviser son salaire annuel par 252  pour obtenir le salaire moyen journalier</t>
  </si>
  <si>
    <t xml:space="preserve">40 000 /252=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</si>
</sst>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_(* \(#,##0.00\);_(* &quot;-&quot;??_);_(@_)"/>
    <numFmt numFmtId="165" formatCode="_-* #,##0.00\ _€_-;\-* #,##0.00\ _€_-;_-* \-??\ _€_-;_-@_-"/>
    <numFmt numFmtId="166" formatCode="_-* #,##0.0000\ _€_-;\-* #,##0.0000\ _€_-;_-* \-??\ _€_-;_-@_-"/>
    <numFmt numFmtId="167" formatCode="0.000"/>
    <numFmt numFmtId="168" formatCode="_-* #,##0.00\ _€_-;\-* #,##0.00\ _€_-;_-* &quot;-&quot;??\ _€_-;_-@_-"/>
    <numFmt numFmtId="169" formatCode="#,##0.00\ &quot;€&quot;"/>
  </numFmts>
  <fonts count="47" x14ac:knownFonts="1">
    <font>
      <sz val="11"/>
      <color theme="1"/>
      <name val="Calibri"/>
      <family val="2"/>
      <scheme val="minor"/>
    </font>
    <font>
      <sz val="11"/>
      <color theme="1"/>
      <name val="Calibri"/>
      <family val="2"/>
      <scheme val="minor"/>
    </font>
    <font>
      <b/>
      <i/>
      <sz val="16"/>
      <color rgb="FF000000"/>
      <name val="Times New Roman"/>
      <family val="1"/>
    </font>
    <font>
      <sz val="11"/>
      <color rgb="FF000000"/>
      <name val="Times New Roman"/>
      <family val="1"/>
    </font>
    <font>
      <b/>
      <sz val="12"/>
      <color rgb="FF000000"/>
      <name val="Times New Roman"/>
      <family val="1"/>
    </font>
    <font>
      <sz val="12"/>
      <color rgb="FF000000"/>
      <name val="Times New Roman"/>
      <family val="1"/>
    </font>
    <font>
      <sz val="10"/>
      <color rgb="FF000000"/>
      <name val="Times New Roman"/>
      <family val="1"/>
    </font>
    <font>
      <sz val="10"/>
      <color rgb="FF000000"/>
      <name val="Calibri"/>
      <family val="2"/>
      <charset val="1"/>
    </font>
    <font>
      <b/>
      <sz val="10"/>
      <color rgb="FF000000"/>
      <name val="Calibri"/>
      <family val="2"/>
      <charset val="1"/>
    </font>
    <font>
      <b/>
      <sz val="11"/>
      <color rgb="FF000000"/>
      <name val="Times New Roman"/>
      <family val="1"/>
    </font>
    <font>
      <sz val="12"/>
      <name val="Times New Roman"/>
      <family val="1"/>
    </font>
    <font>
      <b/>
      <sz val="11"/>
      <color theme="1"/>
      <name val="Calibri"/>
      <family val="2"/>
      <scheme val="minor"/>
    </font>
    <font>
      <sz val="12"/>
      <color theme="1"/>
      <name val="Times New Roman"/>
      <family val="1"/>
    </font>
    <font>
      <b/>
      <sz val="12"/>
      <color theme="1"/>
      <name val="Times New Roman"/>
      <family val="1"/>
    </font>
    <font>
      <sz val="11"/>
      <color rgb="FFFF0000"/>
      <name val="Times New Roman"/>
      <family val="1"/>
    </font>
    <font>
      <sz val="11"/>
      <color theme="1"/>
      <name val="Times New Roman"/>
      <family val="1"/>
    </font>
    <font>
      <sz val="8"/>
      <name val="Calibri"/>
      <family val="2"/>
      <scheme val="minor"/>
    </font>
    <font>
      <sz val="11"/>
      <name val="Times New Roman"/>
      <family val="1"/>
    </font>
    <font>
      <b/>
      <sz val="11"/>
      <name val="Times New Roman"/>
      <family val="1"/>
    </font>
    <font>
      <sz val="10"/>
      <name val="Times New Roman"/>
      <family val="1"/>
    </font>
    <font>
      <sz val="11"/>
      <color rgb="FFFF0000"/>
      <name val="Calibri"/>
      <family val="2"/>
      <scheme val="minor"/>
    </font>
    <font>
      <sz val="11"/>
      <color theme="0"/>
      <name val="Calibri"/>
      <family val="2"/>
      <scheme val="minor"/>
    </font>
    <font>
      <sz val="12"/>
      <color theme="0"/>
      <name val="Times New Roman"/>
      <family val="1"/>
    </font>
    <font>
      <sz val="14"/>
      <color theme="0"/>
      <name val="Calibri"/>
      <family val="2"/>
      <scheme val="minor"/>
    </font>
    <font>
      <b/>
      <sz val="12"/>
      <color theme="0"/>
      <name val="Times New Roman"/>
      <family val="1"/>
    </font>
    <font>
      <sz val="10"/>
      <color theme="0"/>
      <name val="Times New Roman"/>
      <family val="1"/>
    </font>
    <font>
      <b/>
      <sz val="14"/>
      <color theme="3"/>
      <name val="Times New Roman"/>
      <family val="1"/>
    </font>
    <font>
      <b/>
      <sz val="10"/>
      <name val="Arial"/>
      <family val="2"/>
    </font>
    <font>
      <b/>
      <sz val="12"/>
      <color theme="0"/>
      <name val="Calibri"/>
      <family val="2"/>
      <scheme val="minor"/>
    </font>
    <font>
      <sz val="10"/>
      <name val="Arial"/>
      <family val="2"/>
    </font>
    <font>
      <sz val="10"/>
      <name val="Calibri"/>
      <family val="2"/>
      <scheme val="minor"/>
    </font>
    <font>
      <sz val="9"/>
      <name val="Calibri"/>
      <family val="2"/>
      <scheme val="minor"/>
    </font>
    <font>
      <sz val="11"/>
      <color theme="0"/>
      <name val="Arial"/>
      <family val="2"/>
    </font>
    <font>
      <sz val="9"/>
      <color theme="1"/>
      <name val="Calibri"/>
      <family val="2"/>
      <scheme val="minor"/>
    </font>
    <font>
      <sz val="9"/>
      <name val="Arial"/>
      <family val="2"/>
    </font>
    <font>
      <sz val="11"/>
      <name val="Arial"/>
      <family val="2"/>
    </font>
    <font>
      <sz val="11"/>
      <name val="Calibri"/>
      <family val="2"/>
      <scheme val="minor"/>
    </font>
    <font>
      <sz val="10"/>
      <color theme="1"/>
      <name val="Calibri"/>
      <family val="2"/>
      <scheme val="minor"/>
    </font>
    <font>
      <b/>
      <sz val="12"/>
      <name val="Times New Roman"/>
      <family val="1"/>
    </font>
    <font>
      <b/>
      <sz val="11"/>
      <color theme="1"/>
      <name val="Times New Roman"/>
      <family val="1"/>
    </font>
    <font>
      <sz val="9"/>
      <color rgb="FF000000"/>
      <name val="Times New Roman"/>
      <family val="1"/>
    </font>
    <font>
      <sz val="9"/>
      <color theme="0"/>
      <name val="Times New Roman"/>
      <family val="1"/>
    </font>
    <font>
      <sz val="8"/>
      <name val="Times New Roman"/>
      <family val="1"/>
    </font>
    <font>
      <sz val="8"/>
      <color rgb="FFFF0000"/>
      <name val="Times New Roman"/>
      <family val="1"/>
    </font>
    <font>
      <sz val="9"/>
      <name val="Times New Roman"/>
      <family val="1"/>
    </font>
    <font>
      <sz val="8"/>
      <color theme="1"/>
      <name val="Times New Roman"/>
      <family val="1"/>
    </font>
    <font>
      <b/>
      <sz val="9"/>
      <color rgb="FF000000"/>
      <name val="Times New Roman"/>
      <family val="1"/>
    </font>
  </fonts>
  <fills count="6">
    <fill>
      <patternFill patternType="none"/>
    </fill>
    <fill>
      <patternFill patternType="gray125"/>
    </fill>
    <fill>
      <patternFill patternType="solid">
        <fgColor rgb="FFFFFF00"/>
        <bgColor indexed="64"/>
      </patternFill>
    </fill>
    <fill>
      <patternFill patternType="solid">
        <fgColor theme="4"/>
        <bgColor indexed="64"/>
      </patternFill>
    </fill>
    <fill>
      <patternFill patternType="solid">
        <fgColor rgb="FFFFC000"/>
        <bgColor indexed="64"/>
      </patternFill>
    </fill>
    <fill>
      <patternFill patternType="solid">
        <fgColor rgb="FF00B0F0"/>
        <bgColor indexed="64"/>
      </patternFill>
    </fill>
  </fills>
  <borders count="14">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xf numFmtId="164" fontId="1" fillId="0" borderId="0" applyFont="0" applyFill="0" applyBorder="0" applyAlignment="0" applyProtection="0"/>
    <xf numFmtId="0" fontId="1" fillId="0" borderId="0"/>
  </cellStyleXfs>
  <cellXfs count="188">
    <xf numFmtId="0" fontId="0" fillId="0" borderId="0" xfId="0"/>
    <xf numFmtId="0" fontId="3" fillId="0" borderId="0" xfId="0" applyFont="1"/>
    <xf numFmtId="0" fontId="4" fillId="0" borderId="0" xfId="0" applyFont="1"/>
    <xf numFmtId="0" fontId="5" fillId="0" borderId="0" xfId="0" applyFont="1"/>
    <xf numFmtId="0" fontId="5" fillId="0" borderId="2" xfId="0" applyFont="1" applyBorder="1" applyAlignment="1">
      <alignment horizontal="center"/>
    </xf>
    <xf numFmtId="0" fontId="4" fillId="0" borderId="2" xfId="0" applyFont="1" applyBorder="1" applyAlignment="1">
      <alignment horizontal="center"/>
    </xf>
    <xf numFmtId="0" fontId="0" fillId="0" borderId="0" xfId="0" applyAlignment="1">
      <alignment horizontal="center"/>
    </xf>
    <xf numFmtId="0" fontId="6" fillId="0" borderId="2" xfId="0" applyFont="1" applyBorder="1" applyAlignment="1">
      <alignment horizontal="center"/>
    </xf>
    <xf numFmtId="0" fontId="6" fillId="0" borderId="2" xfId="0" applyFont="1" applyBorder="1"/>
    <xf numFmtId="0" fontId="6" fillId="0" borderId="0" xfId="0" applyFont="1"/>
    <xf numFmtId="164" fontId="5" fillId="0" borderId="2" xfId="1" applyFont="1" applyBorder="1"/>
    <xf numFmtId="164" fontId="4" fillId="0" borderId="2" xfId="1" applyFont="1" applyBorder="1"/>
    <xf numFmtId="164" fontId="3" fillId="0" borderId="0" xfId="1" applyFont="1"/>
    <xf numFmtId="164" fontId="1" fillId="0" borderId="0" xfId="1"/>
    <xf numFmtId="164" fontId="9" fillId="0" borderId="2" xfId="1" applyFont="1" applyBorder="1"/>
    <xf numFmtId="164" fontId="9" fillId="0" borderId="0" xfId="1" applyFont="1" applyBorder="1"/>
    <xf numFmtId="0" fontId="5" fillId="0" borderId="2" xfId="0" applyFont="1" applyBorder="1"/>
    <xf numFmtId="164" fontId="3" fillId="0" borderId="2" xfId="1" applyFont="1" applyBorder="1"/>
    <xf numFmtId="0" fontId="9" fillId="0" borderId="0" xfId="0" applyFont="1"/>
    <xf numFmtId="0" fontId="5" fillId="0" borderId="0" xfId="0" applyFont="1" applyAlignment="1">
      <alignment horizontal="center"/>
    </xf>
    <xf numFmtId="166" fontId="1" fillId="0" borderId="2" xfId="1" applyNumberFormat="1" applyBorder="1"/>
    <xf numFmtId="14" fontId="5"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164" fontId="1" fillId="0" borderId="0" xfId="1" applyBorder="1"/>
    <xf numFmtId="0" fontId="3" fillId="0" borderId="2" xfId="0" applyFont="1" applyBorder="1" applyAlignment="1">
      <alignment horizontal="center"/>
    </xf>
    <xf numFmtId="0" fontId="0" fillId="0" borderId="0" xfId="0" applyAlignment="1">
      <alignment horizontal="left" vertical="center" indent="1"/>
    </xf>
    <xf numFmtId="0" fontId="0" fillId="0" borderId="2" xfId="0" applyBorder="1" applyAlignment="1">
      <alignment horizontal="center" vertical="center" wrapText="1"/>
    </xf>
    <xf numFmtId="0" fontId="0" fillId="0" borderId="0" xfId="0" applyAlignment="1">
      <alignment horizontal="center" vertical="center" wrapText="1"/>
    </xf>
    <xf numFmtId="14" fontId="0" fillId="0" borderId="0" xfId="0" applyNumberFormat="1" applyAlignment="1">
      <alignment horizontal="center" vertical="center" wrapText="1"/>
    </xf>
    <xf numFmtId="14" fontId="0" fillId="0" borderId="0" xfId="0" applyNumberFormat="1" applyAlignment="1">
      <alignment horizontal="center"/>
    </xf>
    <xf numFmtId="4" fontId="0" fillId="0" borderId="0" xfId="0" applyNumberFormat="1" applyAlignment="1">
      <alignment horizontal="center"/>
    </xf>
    <xf numFmtId="0" fontId="12" fillId="0" borderId="0" xfId="0" applyFont="1"/>
    <xf numFmtId="0" fontId="14" fillId="0" borderId="0" xfId="0" applyFont="1"/>
    <xf numFmtId="0" fontId="5" fillId="0" borderId="0" xfId="0" applyFont="1" applyAlignment="1">
      <alignment horizontal="left"/>
    </xf>
    <xf numFmtId="14" fontId="14" fillId="0" borderId="0" xfId="0" applyNumberFormat="1" applyFont="1"/>
    <xf numFmtId="0" fontId="3" fillId="0" borderId="0" xfId="0" quotePrefix="1" applyFont="1"/>
    <xf numFmtId="0" fontId="3" fillId="0" borderId="0" xfId="0" quotePrefix="1" applyFont="1" applyAlignment="1">
      <alignment horizontal="center"/>
    </xf>
    <xf numFmtId="0" fontId="17" fillId="0" borderId="0" xfId="0" applyFont="1"/>
    <xf numFmtId="0" fontId="18" fillId="0" borderId="0" xfId="0" applyFont="1"/>
    <xf numFmtId="0" fontId="14" fillId="0" borderId="0" xfId="0" quotePrefix="1" applyFont="1"/>
    <xf numFmtId="0" fontId="4" fillId="0" borderId="0" xfId="0" applyFont="1" applyAlignment="1">
      <alignment horizontal="center"/>
    </xf>
    <xf numFmtId="0" fontId="5" fillId="0" borderId="2" xfId="0" quotePrefix="1" applyFont="1" applyBorder="1" applyAlignment="1">
      <alignment horizontal="center"/>
    </xf>
    <xf numFmtId="0" fontId="3" fillId="0" borderId="0" xfId="0" applyFont="1" applyAlignment="1">
      <alignment horizontal="center"/>
    </xf>
    <xf numFmtId="14" fontId="17" fillId="0" borderId="2" xfId="0" applyNumberFormat="1" applyFont="1" applyBorder="1" applyAlignment="1">
      <alignment horizontal="center"/>
    </xf>
    <xf numFmtId="0" fontId="17" fillId="0" borderId="2" xfId="0" applyFont="1" applyBorder="1" applyAlignment="1">
      <alignment horizontal="center"/>
    </xf>
    <xf numFmtId="0" fontId="17" fillId="0" borderId="2" xfId="0" quotePrefix="1" applyFont="1" applyBorder="1" applyAlignment="1">
      <alignment horizontal="center"/>
    </xf>
    <xf numFmtId="0" fontId="13" fillId="0" borderId="0" xfId="0" applyFont="1"/>
    <xf numFmtId="14" fontId="12" fillId="0" borderId="0" xfId="0" applyNumberFormat="1" applyFont="1"/>
    <xf numFmtId="0" fontId="12" fillId="0" borderId="0" xfId="0" quotePrefix="1" applyFont="1"/>
    <xf numFmtId="0" fontId="5" fillId="2" borderId="2" xfId="0" applyFont="1" applyFill="1" applyBorder="1" applyAlignment="1">
      <alignment horizontal="center"/>
    </xf>
    <xf numFmtId="0" fontId="5" fillId="2" borderId="0" xfId="0" applyFont="1" applyFill="1"/>
    <xf numFmtId="0" fontId="5" fillId="2" borderId="2" xfId="0" quotePrefix="1" applyFont="1" applyFill="1" applyBorder="1" applyAlignment="1">
      <alignment horizontal="center"/>
    </xf>
    <xf numFmtId="0" fontId="5" fillId="2" borderId="2" xfId="0" applyFont="1" applyFill="1" applyBorder="1"/>
    <xf numFmtId="0" fontId="5" fillId="2" borderId="0" xfId="0" applyFont="1" applyFill="1" applyAlignment="1">
      <alignment horizontal="left"/>
    </xf>
    <xf numFmtId="0" fontId="12" fillId="2" borderId="0" xfId="0" applyFont="1" applyFill="1"/>
    <xf numFmtId="0" fontId="19" fillId="0" borderId="0" xfId="0" applyFont="1"/>
    <xf numFmtId="167" fontId="3" fillId="0" borderId="0" xfId="0" applyNumberFormat="1" applyFont="1"/>
    <xf numFmtId="0" fontId="9" fillId="0" borderId="0" xfId="0" applyFont="1" applyAlignment="1">
      <alignment horizontal="center"/>
    </xf>
    <xf numFmtId="0" fontId="11" fillId="0" borderId="0" xfId="0" applyFont="1" applyAlignment="1">
      <alignment horizontal="center"/>
    </xf>
    <xf numFmtId="165" fontId="3" fillId="0" borderId="0" xfId="0" applyNumberFormat="1" applyFont="1" applyAlignment="1">
      <alignment horizontal="center"/>
    </xf>
    <xf numFmtId="168" fontId="3" fillId="0" borderId="0" xfId="0" applyNumberFormat="1" applyFont="1" applyAlignment="1">
      <alignment horizontal="center"/>
    </xf>
    <xf numFmtId="0" fontId="3" fillId="0" borderId="7" xfId="0" applyFont="1" applyBorder="1" applyAlignment="1">
      <alignment horizontal="center"/>
    </xf>
    <xf numFmtId="0" fontId="19" fillId="0" borderId="2" xfId="0" applyFont="1" applyBorder="1" applyAlignment="1">
      <alignment horizontal="center" vertical="center" wrapText="1"/>
    </xf>
    <xf numFmtId="14" fontId="0" fillId="2" borderId="2" xfId="0" applyNumberFormat="1" applyFill="1" applyBorder="1" applyAlignment="1">
      <alignment horizontal="center" vertical="center" wrapText="1"/>
    </xf>
    <xf numFmtId="0" fontId="27" fillId="0" borderId="2" xfId="0" applyFont="1" applyBorder="1" applyAlignment="1">
      <alignment horizontal="center" vertical="center" wrapText="1"/>
    </xf>
    <xf numFmtId="2" fontId="0" fillId="0" borderId="2" xfId="0" applyNumberFormat="1" applyBorder="1" applyAlignment="1">
      <alignment horizontal="center" vertical="center" wrapText="1"/>
    </xf>
    <xf numFmtId="2" fontId="0" fillId="2" borderId="2" xfId="0" applyNumberFormat="1" applyFill="1" applyBorder="1" applyAlignment="1">
      <alignment horizontal="center" vertical="center" wrapText="1"/>
    </xf>
    <xf numFmtId="0" fontId="27" fillId="0" borderId="0" xfId="0" applyFont="1" applyAlignment="1">
      <alignment horizontal="center" vertical="center" wrapText="1"/>
    </xf>
    <xf numFmtId="0" fontId="1" fillId="0" borderId="0" xfId="2" applyAlignment="1">
      <alignment horizontal="center"/>
    </xf>
    <xf numFmtId="43" fontId="20" fillId="2" borderId="2" xfId="0" applyNumberFormat="1" applyFont="1" applyFill="1" applyBorder="1" applyAlignment="1">
      <alignment horizontal="center" vertical="center" wrapText="1"/>
    </xf>
    <xf numFmtId="0" fontId="0" fillId="0" borderId="6" xfId="0" applyBorder="1" applyAlignment="1">
      <alignment horizontal="center" vertical="center" wrapText="1"/>
    </xf>
    <xf numFmtId="43" fontId="0" fillId="2" borderId="6" xfId="0" applyNumberFormat="1" applyFill="1" applyBorder="1" applyAlignment="1">
      <alignment horizontal="center" vertical="center" wrapText="1"/>
    </xf>
    <xf numFmtId="0" fontId="1" fillId="0" borderId="0" xfId="2"/>
    <xf numFmtId="0" fontId="0" fillId="0" borderId="2" xfId="0" applyBorder="1" applyAlignment="1">
      <alignment horizontal="center"/>
    </xf>
    <xf numFmtId="14" fontId="0" fillId="0" borderId="0" xfId="0" applyNumberFormat="1"/>
    <xf numFmtId="0" fontId="11" fillId="0" borderId="5" xfId="2" applyFont="1" applyBorder="1" applyAlignment="1">
      <alignment horizontal="center" vertical="center" wrapText="1"/>
    </xf>
    <xf numFmtId="0" fontId="11" fillId="0" borderId="2" xfId="2" applyFont="1" applyBorder="1" applyAlignment="1">
      <alignment horizontal="center" vertical="center" wrapText="1"/>
    </xf>
    <xf numFmtId="0" fontId="29" fillId="0" borderId="5" xfId="0" applyFont="1" applyBorder="1" applyAlignment="1">
      <alignment horizontal="center" vertical="center" wrapText="1"/>
    </xf>
    <xf numFmtId="2" fontId="30" fillId="0" borderId="2" xfId="2" applyNumberFormat="1" applyFont="1" applyBorder="1" applyAlignment="1">
      <alignment horizontal="center" vertical="center" wrapText="1"/>
    </xf>
    <xf numFmtId="2" fontId="31" fillId="0" borderId="2" xfId="2" applyNumberFormat="1" applyFont="1" applyBorder="1" applyAlignment="1">
      <alignment horizontal="center" vertical="center" wrapText="1"/>
    </xf>
    <xf numFmtId="1" fontId="21" fillId="3" borderId="5" xfId="2" applyNumberFormat="1" applyFont="1" applyFill="1" applyBorder="1" applyAlignment="1">
      <alignment horizontal="center" vertical="center" wrapText="1"/>
    </xf>
    <xf numFmtId="2" fontId="1" fillId="0" borderId="2" xfId="2" applyNumberFormat="1" applyBorder="1" applyAlignment="1">
      <alignment horizontal="center" vertical="center" wrapText="1"/>
    </xf>
    <xf numFmtId="0" fontId="32" fillId="3" borderId="2" xfId="0" applyFont="1" applyFill="1" applyBorder="1" applyAlignment="1">
      <alignment horizontal="center" vertical="center" wrapText="1"/>
    </xf>
    <xf numFmtId="164" fontId="1" fillId="0" borderId="2" xfId="1" applyFill="1" applyBorder="1" applyAlignment="1">
      <alignment horizontal="center" vertical="center" wrapText="1"/>
    </xf>
    <xf numFmtId="164" fontId="33" fillId="0" borderId="2" xfId="1" quotePrefix="1" applyFont="1" applyFill="1" applyBorder="1" applyAlignment="1">
      <alignment horizontal="center" vertical="center" wrapText="1"/>
    </xf>
    <xf numFmtId="164" fontId="34" fillId="0" borderId="2" xfId="1" applyFont="1" applyFill="1" applyBorder="1" applyAlignment="1">
      <alignment horizontal="center" vertical="center" wrapText="1"/>
    </xf>
    <xf numFmtId="164" fontId="33" fillId="0" borderId="2" xfId="1" applyFont="1" applyFill="1" applyBorder="1" applyAlignment="1">
      <alignment horizontal="center" vertical="center" wrapText="1"/>
    </xf>
    <xf numFmtId="0" fontId="35" fillId="0" borderId="0" xfId="0" applyFont="1"/>
    <xf numFmtId="2" fontId="1" fillId="0" borderId="0" xfId="2" applyNumberFormat="1" applyAlignment="1">
      <alignment horizontal="center" vertical="center" wrapText="1"/>
    </xf>
    <xf numFmtId="2" fontId="1" fillId="0" borderId="7" xfId="2" applyNumberFormat="1" applyBorder="1" applyAlignment="1">
      <alignment horizontal="center" vertical="center" wrapText="1"/>
    </xf>
    <xf numFmtId="0" fontId="36" fillId="0" borderId="2" xfId="2" applyFont="1" applyBorder="1" applyAlignment="1">
      <alignment horizontal="center" vertical="center" wrapText="1"/>
    </xf>
    <xf numFmtId="164" fontId="36" fillId="0" borderId="2" xfId="1" applyFont="1" applyFill="1" applyBorder="1" applyAlignment="1">
      <alignment horizontal="center" vertical="center" wrapText="1"/>
    </xf>
    <xf numFmtId="2" fontId="33" fillId="0" borderId="2" xfId="2" applyNumberFormat="1" applyFont="1" applyBorder="1" applyAlignment="1">
      <alignment horizontal="center" vertical="center" wrapText="1"/>
    </xf>
    <xf numFmtId="0" fontId="37" fillId="0" borderId="7" xfId="0" applyFont="1" applyBorder="1" applyAlignment="1">
      <alignment horizontal="center" vertical="center" wrapText="1"/>
    </xf>
    <xf numFmtId="14" fontId="37" fillId="5" borderId="7" xfId="0" applyNumberFormat="1" applyFont="1" applyFill="1" applyBorder="1" applyAlignment="1">
      <alignment horizontal="center" vertical="center" wrapText="1"/>
    </xf>
    <xf numFmtId="0" fontId="37" fillId="0" borderId="2" xfId="0" applyFont="1" applyBorder="1" applyAlignment="1">
      <alignment horizontal="center" vertical="center" wrapText="1"/>
    </xf>
    <xf numFmtId="14" fontId="37" fillId="5" borderId="2" xfId="0" applyNumberFormat="1" applyFont="1" applyFill="1" applyBorder="1" applyAlignment="1">
      <alignment horizontal="center" vertical="center" wrapText="1"/>
    </xf>
    <xf numFmtId="2" fontId="37" fillId="5" borderId="2" xfId="0" applyNumberFormat="1" applyFont="1" applyFill="1" applyBorder="1" applyAlignment="1">
      <alignment horizontal="center" vertical="center" wrapText="1"/>
    </xf>
    <xf numFmtId="0" fontId="37" fillId="5" borderId="2" xfId="0" applyFont="1" applyFill="1" applyBorder="1" applyAlignment="1">
      <alignment horizontal="center" vertical="center" wrapText="1"/>
    </xf>
    <xf numFmtId="0" fontId="37" fillId="4" borderId="2" xfId="0" applyFont="1" applyFill="1" applyBorder="1" applyAlignment="1">
      <alignment horizontal="center" vertical="center" wrapText="1"/>
    </xf>
    <xf numFmtId="0" fontId="37" fillId="2" borderId="2" xfId="0" applyFont="1" applyFill="1" applyBorder="1" applyAlignment="1">
      <alignment horizontal="center" vertical="center" wrapText="1"/>
    </xf>
    <xf numFmtId="0" fontId="37" fillId="5" borderId="3" xfId="0" applyFont="1" applyFill="1" applyBorder="1" applyAlignment="1">
      <alignment horizontal="center" vertical="center" wrapText="1"/>
    </xf>
    <xf numFmtId="0" fontId="38" fillId="0" borderId="0" xfId="0" applyFont="1"/>
    <xf numFmtId="0" fontId="10" fillId="0" borderId="0" xfId="0" applyFont="1"/>
    <xf numFmtId="0" fontId="10" fillId="0" borderId="2" xfId="0" applyFont="1" applyBorder="1" applyAlignment="1">
      <alignment horizontal="center"/>
    </xf>
    <xf numFmtId="0" fontId="12" fillId="0" borderId="0" xfId="0" applyFont="1" applyAlignment="1">
      <alignment horizontal="center"/>
    </xf>
    <xf numFmtId="0" fontId="0" fillId="0" borderId="2" xfId="0" applyBorder="1"/>
    <xf numFmtId="0" fontId="21" fillId="5" borderId="0" xfId="0" applyFont="1" applyFill="1"/>
    <xf numFmtId="0" fontId="3" fillId="0" borderId="3" xfId="0" applyFont="1" applyBorder="1"/>
    <xf numFmtId="0" fontId="22" fillId="5" borderId="2" xfId="0" applyFont="1" applyFill="1" applyBorder="1"/>
    <xf numFmtId="0" fontId="38" fillId="0" borderId="2" xfId="0" applyFont="1" applyBorder="1" applyAlignment="1">
      <alignment horizontal="center"/>
    </xf>
    <xf numFmtId="0" fontId="38" fillId="0" borderId="2" xfId="0" applyFont="1" applyBorder="1"/>
    <xf numFmtId="0" fontId="24" fillId="5" borderId="2" xfId="0" applyFont="1" applyFill="1" applyBorder="1"/>
    <xf numFmtId="0" fontId="3" fillId="0" borderId="2" xfId="0" quotePrefix="1" applyFont="1" applyBorder="1" applyAlignment="1">
      <alignment horizontal="center"/>
    </xf>
    <xf numFmtId="0" fontId="42" fillId="0" borderId="0" xfId="0" applyFont="1"/>
    <xf numFmtId="0" fontId="43" fillId="0" borderId="0" xfId="0" applyFont="1"/>
    <xf numFmtId="0" fontId="3" fillId="2" borderId="0" xfId="0" applyFont="1" applyFill="1"/>
    <xf numFmtId="14" fontId="3" fillId="0" borderId="0" xfId="0" applyNumberFormat="1" applyFont="1"/>
    <xf numFmtId="0" fontId="12" fillId="0" borderId="2" xfId="0" applyFont="1" applyBorder="1"/>
    <xf numFmtId="0" fontId="13" fillId="0" borderId="2" xfId="0" applyFont="1" applyBorder="1"/>
    <xf numFmtId="0" fontId="45" fillId="0" borderId="0" xfId="0" applyFont="1"/>
    <xf numFmtId="0" fontId="41" fillId="5" borderId="0" xfId="0" applyFont="1" applyFill="1" applyAlignment="1">
      <alignment horizontal="center"/>
    </xf>
    <xf numFmtId="0" fontId="10" fillId="0" borderId="0" xfId="0" applyFont="1" applyAlignment="1">
      <alignment horizontal="center" vertical="center" wrapText="1"/>
    </xf>
    <xf numFmtId="0" fontId="10" fillId="0" borderId="10" xfId="0" applyFont="1" applyBorder="1" applyAlignment="1">
      <alignment horizontal="center" vertical="center" wrapText="1"/>
    </xf>
    <xf numFmtId="0" fontId="44" fillId="0" borderId="0" xfId="0" applyFont="1" applyAlignment="1">
      <alignment horizontal="center" vertical="center" wrapText="1"/>
    </xf>
    <xf numFmtId="0" fontId="44" fillId="0" borderId="10" xfId="0" applyFont="1" applyBorder="1" applyAlignment="1">
      <alignment horizontal="center" vertical="center" wrapText="1"/>
    </xf>
    <xf numFmtId="0" fontId="3" fillId="0" borderId="0" xfId="0" applyFont="1" applyAlignment="1">
      <alignment horizontal="center"/>
    </xf>
    <xf numFmtId="0" fontId="3" fillId="0" borderId="10" xfId="0" applyFont="1" applyBorder="1" applyAlignment="1">
      <alignment horizontal="center"/>
    </xf>
    <xf numFmtId="0" fontId="6" fillId="0" borderId="0" xfId="0" applyFont="1" applyAlignment="1">
      <alignment horizontal="right"/>
    </xf>
    <xf numFmtId="0" fontId="6" fillId="0" borderId="10" xfId="0" applyFont="1" applyBorder="1" applyAlignment="1">
      <alignment horizontal="right"/>
    </xf>
    <xf numFmtId="0" fontId="5" fillId="0" borderId="0" xfId="0" applyFont="1" applyAlignment="1">
      <alignment horizontal="center"/>
    </xf>
    <xf numFmtId="0" fontId="5" fillId="0" borderId="10" xfId="0" applyFont="1" applyBorder="1" applyAlignment="1">
      <alignment horizontal="center"/>
    </xf>
    <xf numFmtId="0" fontId="17" fillId="0" borderId="0" xfId="0" applyFont="1" applyAlignment="1">
      <alignment horizontal="center"/>
    </xf>
    <xf numFmtId="0" fontId="17" fillId="0" borderId="10" xfId="0" applyFont="1" applyBorder="1" applyAlignment="1">
      <alignment horizontal="center"/>
    </xf>
    <xf numFmtId="0" fontId="17" fillId="0" borderId="0" xfId="0" applyFont="1" applyAlignment="1">
      <alignment horizontal="right"/>
    </xf>
    <xf numFmtId="0" fontId="17" fillId="0" borderId="10" xfId="0" applyFont="1" applyBorder="1" applyAlignment="1">
      <alignment horizontal="right"/>
    </xf>
    <xf numFmtId="0" fontId="6" fillId="0" borderId="3" xfId="0" applyFont="1" applyBorder="1" applyAlignment="1">
      <alignment horizontal="center"/>
    </xf>
    <xf numFmtId="0" fontId="6" fillId="0" borderId="4" xfId="0" applyFont="1" applyBorder="1" applyAlignment="1">
      <alignment horizontal="center"/>
    </xf>
    <xf numFmtId="0" fontId="3" fillId="0" borderId="0" xfId="0" applyFont="1" applyAlignment="1">
      <alignment horizontal="right"/>
    </xf>
    <xf numFmtId="0" fontId="5" fillId="0" borderId="0" xfId="0" applyFont="1" applyAlignment="1">
      <alignment horizontal="right"/>
    </xf>
    <xf numFmtId="0" fontId="5" fillId="0" borderId="10" xfId="0" applyFont="1" applyBorder="1" applyAlignment="1">
      <alignment horizontal="right"/>
    </xf>
    <xf numFmtId="0" fontId="25" fillId="5" borderId="3" xfId="0" applyFont="1" applyFill="1" applyBorder="1" applyAlignment="1">
      <alignment horizontal="center"/>
    </xf>
    <xf numFmtId="0" fontId="25" fillId="5" borderId="4" xfId="0" applyFont="1" applyFill="1" applyBorder="1" applyAlignment="1">
      <alignment horizontal="center"/>
    </xf>
    <xf numFmtId="0" fontId="2" fillId="0" borderId="1" xfId="0" applyFont="1" applyBorder="1" applyAlignment="1">
      <alignment horizontal="center"/>
    </xf>
    <xf numFmtId="0" fontId="6" fillId="0" borderId="5" xfId="0" applyFont="1" applyBorder="1" applyAlignment="1">
      <alignment horizontal="center"/>
    </xf>
    <xf numFmtId="0" fontId="22" fillId="3" borderId="3" xfId="0" applyFont="1" applyFill="1" applyBorder="1" applyAlignment="1">
      <alignment vertical="center" wrapText="1"/>
    </xf>
    <xf numFmtId="0" fontId="23" fillId="3" borderId="4" xfId="0" applyFont="1" applyFill="1" applyBorder="1" applyAlignment="1">
      <alignment vertical="center" wrapText="1"/>
    </xf>
    <xf numFmtId="0" fontId="23" fillId="3" borderId="5" xfId="0" applyFont="1" applyFill="1" applyBorder="1" applyAlignment="1">
      <alignment vertical="center" wrapText="1"/>
    </xf>
    <xf numFmtId="0" fontId="6" fillId="0" borderId="2" xfId="0" applyFont="1" applyBorder="1" applyAlignment="1">
      <alignment horizontal="center" vertical="center" wrapText="1"/>
    </xf>
    <xf numFmtId="0" fontId="6" fillId="0" borderId="9" xfId="0" applyFont="1" applyBorder="1" applyAlignment="1">
      <alignment horizontal="center"/>
    </xf>
    <xf numFmtId="0" fontId="6" fillId="0" borderId="1" xfId="0" applyFont="1" applyBorder="1" applyAlignment="1">
      <alignment horizontal="center"/>
    </xf>
    <xf numFmtId="0" fontId="22" fillId="5" borderId="0" xfId="0" applyFont="1" applyFill="1" applyAlignment="1">
      <alignment horizontal="center"/>
    </xf>
    <xf numFmtId="0" fontId="22" fillId="5" borderId="10" xfId="0" applyFont="1" applyFill="1" applyBorder="1" applyAlignment="1">
      <alignment horizontal="center"/>
    </xf>
    <xf numFmtId="0" fontId="15" fillId="0" borderId="2" xfId="0" quotePrefix="1" applyFont="1" applyBorder="1" applyAlignment="1">
      <alignment horizontal="center" vertical="center" wrapText="1"/>
    </xf>
    <xf numFmtId="0" fontId="15" fillId="0" borderId="2" xfId="0" applyFont="1" applyBorder="1" applyAlignment="1">
      <alignment horizontal="center" vertical="center" wrapText="1"/>
    </xf>
    <xf numFmtId="0" fontId="25" fillId="5" borderId="8" xfId="0" applyFont="1" applyFill="1" applyBorder="1" applyAlignment="1">
      <alignment horizontal="center" vertical="center" wrapText="1"/>
    </xf>
    <xf numFmtId="0" fontId="25" fillId="5" borderId="0" xfId="0" applyFont="1" applyFill="1" applyAlignment="1">
      <alignment horizontal="center" vertical="center" wrapText="1"/>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7" fillId="0" borderId="3" xfId="0" applyFont="1" applyBorder="1" applyAlignment="1">
      <alignment horizontal="center"/>
    </xf>
    <xf numFmtId="0" fontId="0" fillId="0" borderId="8" xfId="0" applyBorder="1" applyAlignment="1">
      <alignment horizontal="center" vertical="center" wrapText="1"/>
    </xf>
    <xf numFmtId="0" fontId="0" fillId="0" borderId="0" xfId="0" applyAlignment="1">
      <alignment horizontal="center" vertical="center" wrapText="1"/>
    </xf>
    <xf numFmtId="0" fontId="27" fillId="2" borderId="3" xfId="0" applyFont="1" applyFill="1" applyBorder="1" applyAlignment="1">
      <alignment horizontal="center" vertical="center" wrapText="1"/>
    </xf>
    <xf numFmtId="0" fontId="27" fillId="2" borderId="4" xfId="0" applyFont="1" applyFill="1" applyBorder="1" applyAlignment="1">
      <alignment horizontal="center" vertical="center" wrapText="1"/>
    </xf>
    <xf numFmtId="0" fontId="27" fillId="2" borderId="5" xfId="0" applyFont="1" applyFill="1" applyBorder="1" applyAlignment="1">
      <alignment horizontal="center" vertical="center" wrapText="1"/>
    </xf>
    <xf numFmtId="14" fontId="0" fillId="0" borderId="2" xfId="0" applyNumberFormat="1" applyBorder="1" applyAlignment="1">
      <alignment horizontal="center" vertical="center" wrapText="1"/>
    </xf>
    <xf numFmtId="0" fontId="0" fillId="0" borderId="2" xfId="0" applyBorder="1" applyAlignment="1">
      <alignment horizontal="center" vertical="center" wrapText="1"/>
    </xf>
    <xf numFmtId="0" fontId="0" fillId="0" borderId="12" xfId="2" applyFont="1" applyBorder="1" applyAlignment="1">
      <alignment horizontal="center"/>
    </xf>
    <xf numFmtId="0" fontId="0" fillId="0" borderId="13" xfId="2" applyFont="1" applyBorder="1" applyAlignment="1">
      <alignment horizontal="center"/>
    </xf>
    <xf numFmtId="0" fontId="28" fillId="3" borderId="0" xfId="2" applyFont="1" applyFill="1" applyAlignment="1">
      <alignment horizontal="center" vertical="center" wrapText="1"/>
    </xf>
    <xf numFmtId="2" fontId="30" fillId="0" borderId="3" xfId="2" applyNumberFormat="1" applyFont="1" applyBorder="1" applyAlignment="1">
      <alignment horizontal="center" vertical="center" wrapText="1"/>
    </xf>
    <xf numFmtId="2" fontId="30" fillId="0" borderId="5" xfId="2" applyNumberFormat="1" applyFont="1" applyBorder="1" applyAlignment="1">
      <alignment horizontal="center" vertical="center" wrapText="1"/>
    </xf>
    <xf numFmtId="0" fontId="26" fillId="4" borderId="2" xfId="0" applyFont="1" applyFill="1" applyBorder="1" applyAlignment="1">
      <alignment horizontal="center" vertical="center" wrapText="1"/>
    </xf>
    <xf numFmtId="0" fontId="21" fillId="5" borderId="2" xfId="0" applyFont="1" applyFill="1" applyBorder="1" applyAlignment="1">
      <alignment horizontal="center" vertical="center"/>
    </xf>
    <xf numFmtId="0" fontId="0" fillId="2" borderId="2" xfId="0" applyFill="1" applyBorder="1" applyAlignment="1">
      <alignment horizontal="center" vertical="center" wrapText="1"/>
    </xf>
    <xf numFmtId="0" fontId="11" fillId="2" borderId="9"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40" fillId="0" borderId="0" xfId="0" applyFont="1" applyAlignment="1">
      <alignment horizontal="left"/>
    </xf>
    <xf numFmtId="0" fontId="40" fillId="0" borderId="10" xfId="0" applyFont="1" applyBorder="1" applyAlignment="1">
      <alignment horizontal="left"/>
    </xf>
    <xf numFmtId="0" fontId="40" fillId="0" borderId="0" xfId="0" applyFont="1" applyAlignment="1">
      <alignment horizontal="left"/>
    </xf>
    <xf numFmtId="0" fontId="25" fillId="5" borderId="2" xfId="0" applyFont="1" applyFill="1" applyBorder="1"/>
    <xf numFmtId="0" fontId="25" fillId="5" borderId="2" xfId="0" applyFont="1" applyFill="1" applyBorder="1" applyAlignment="1">
      <alignment horizontal="center"/>
    </xf>
    <xf numFmtId="0" fontId="13" fillId="0" borderId="2" xfId="0" applyFont="1" applyFill="1" applyBorder="1"/>
    <xf numFmtId="0" fontId="40" fillId="0" borderId="10" xfId="0" applyFont="1" applyBorder="1" applyAlignment="1">
      <alignment horizontal="left"/>
    </xf>
    <xf numFmtId="0" fontId="6" fillId="0" borderId="0" xfId="0" applyFont="1" applyBorder="1" applyAlignment="1">
      <alignment horizontal="center"/>
    </xf>
    <xf numFmtId="0" fontId="3" fillId="0" borderId="0" xfId="0" applyFont="1" applyBorder="1" applyAlignment="1">
      <alignment horizontal="center"/>
    </xf>
    <xf numFmtId="0" fontId="0" fillId="0" borderId="0" xfId="0" applyBorder="1"/>
    <xf numFmtId="169" fontId="4" fillId="2" borderId="0" xfId="0" applyNumberFormat="1" applyFont="1" applyFill="1" applyAlignment="1">
      <alignment horizontal="center" vertical="center" wrapText="1"/>
    </xf>
  </cellXfs>
  <cellStyles count="3">
    <cellStyle name="Milliers" xfId="1" builtinId="3"/>
    <cellStyle name="Normal" xfId="0" builtinId="0"/>
    <cellStyle name="Normal 2" xfId="2" xr:uid="{D473945D-F798-4035-9FCB-FD35C846FE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260350</xdr:colOff>
      <xdr:row>21</xdr:row>
      <xdr:rowOff>71437</xdr:rowOff>
    </xdr:from>
    <xdr:to>
      <xdr:col>7</xdr:col>
      <xdr:colOff>642938</xdr:colOff>
      <xdr:row>31</xdr:row>
      <xdr:rowOff>47625</xdr:rowOff>
    </xdr:to>
    <xdr:cxnSp macro="">
      <xdr:nvCxnSpPr>
        <xdr:cNvPr id="4" name="Connecteur droit avec flèche 3">
          <a:extLst>
            <a:ext uri="{FF2B5EF4-FFF2-40B4-BE49-F238E27FC236}">
              <a16:creationId xmlns:a16="http://schemas.microsoft.com/office/drawing/2014/main" id="{6A598271-0FD6-6AA3-7B4C-1DBEBB996DC0}"/>
            </a:ext>
          </a:extLst>
        </xdr:cNvPr>
        <xdr:cNvCxnSpPr/>
      </xdr:nvCxnSpPr>
      <xdr:spPr>
        <a:xfrm flipH="1" flipV="1">
          <a:off x="6110288" y="6596062"/>
          <a:ext cx="1327150" cy="196056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1791992</xdr:colOff>
      <xdr:row>28</xdr:row>
      <xdr:rowOff>104936</xdr:rowOff>
    </xdr:from>
    <xdr:to>
      <xdr:col>5</xdr:col>
      <xdr:colOff>758771</xdr:colOff>
      <xdr:row>31</xdr:row>
      <xdr:rowOff>161441</xdr:rowOff>
    </xdr:to>
    <xdr:cxnSp macro="">
      <xdr:nvCxnSpPr>
        <xdr:cNvPr id="5" name="Connecteur droit avec flèche 4">
          <a:extLst>
            <a:ext uri="{FF2B5EF4-FFF2-40B4-BE49-F238E27FC236}">
              <a16:creationId xmlns:a16="http://schemas.microsoft.com/office/drawing/2014/main" id="{3F99DDC6-6B68-97FB-7819-B8AF0BB16370}"/>
            </a:ext>
          </a:extLst>
        </xdr:cNvPr>
        <xdr:cNvCxnSpPr/>
      </xdr:nvCxnSpPr>
      <xdr:spPr>
        <a:xfrm flipV="1">
          <a:off x="4665636" y="5755360"/>
          <a:ext cx="2825211" cy="661907"/>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815276</xdr:colOff>
      <xdr:row>24</xdr:row>
      <xdr:rowOff>104937</xdr:rowOff>
    </xdr:from>
    <xdr:to>
      <xdr:col>2</xdr:col>
      <xdr:colOff>904068</xdr:colOff>
      <xdr:row>27</xdr:row>
      <xdr:rowOff>153369</xdr:rowOff>
    </xdr:to>
    <xdr:cxnSp macro="">
      <xdr:nvCxnSpPr>
        <xdr:cNvPr id="4" name="Connecteur droit avec flèche 3">
          <a:extLst>
            <a:ext uri="{FF2B5EF4-FFF2-40B4-BE49-F238E27FC236}">
              <a16:creationId xmlns:a16="http://schemas.microsoft.com/office/drawing/2014/main" id="{E1608955-46CC-19BD-0BBB-876122564B6F}"/>
            </a:ext>
          </a:extLst>
        </xdr:cNvPr>
        <xdr:cNvCxnSpPr/>
      </xdr:nvCxnSpPr>
      <xdr:spPr>
        <a:xfrm flipV="1">
          <a:off x="2066441" y="4746356"/>
          <a:ext cx="1711271" cy="65383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Bienvenue/Desktop/BLOG%20DE%20LA%20PAIE/VALORISATION%20DES%20ABSENC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URS "/>
      <sheetName val="EX 1 ENONCE "/>
      <sheetName val="EX 1 CORR "/>
      <sheetName val="Feuil3"/>
      <sheetName val="Feuil5"/>
      <sheetName val="FORFAIT JOURS "/>
      <sheetName val="JOURS FERIES "/>
      <sheetName val="HYP 2 "/>
      <sheetName val="HYP 1 "/>
      <sheetName val="HYP 3 "/>
      <sheetName val="Feuil1"/>
    </sheetNames>
    <sheetDataSet>
      <sheetData sheetId="0"/>
      <sheetData sheetId="1"/>
      <sheetData sheetId="2"/>
      <sheetData sheetId="3"/>
      <sheetData sheetId="4">
        <row r="24">
          <cell r="E24">
            <v>61</v>
          </cell>
        </row>
        <row r="25">
          <cell r="E25">
            <v>16</v>
          </cell>
        </row>
        <row r="26">
          <cell r="E26">
            <v>4.17</v>
          </cell>
        </row>
        <row r="27">
          <cell r="E27">
            <v>2</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372"/>
  <sheetViews>
    <sheetView tabSelected="1" topLeftCell="B87" zoomScale="120" zoomScaleNormal="120" workbookViewId="0">
      <selection activeCell="H107" sqref="H107"/>
    </sheetView>
  </sheetViews>
  <sheetFormatPr baseColWidth="10" defaultColWidth="11.42578125" defaultRowHeight="15" x14ac:dyDescent="0.25"/>
  <cols>
    <col min="1" max="1" width="1.42578125" style="1" hidden="1" customWidth="1"/>
    <col min="2" max="2" width="7.7109375" style="1" customWidth="1"/>
    <col min="3" max="3" width="11" style="1" customWidth="1"/>
    <col min="4" max="4" width="33.140625" style="1" customWidth="1"/>
    <col min="5" max="5" width="19.140625" style="1" customWidth="1"/>
    <col min="6" max="6" width="18.7109375" style="1" customWidth="1"/>
    <col min="7" max="7" width="14.140625" style="1" customWidth="1"/>
    <col min="8" max="8" width="17.28515625" style="1" customWidth="1"/>
    <col min="9" max="9" width="12.28515625" style="1" customWidth="1"/>
    <col min="10" max="10" width="24.140625" style="1" customWidth="1"/>
    <col min="11" max="16384" width="11.42578125" style="1"/>
  </cols>
  <sheetData>
    <row r="1" spans="2:10" ht="20.25" x14ac:dyDescent="0.3">
      <c r="B1" s="143" t="s">
        <v>0</v>
      </c>
      <c r="C1" s="143"/>
      <c r="D1" s="143"/>
      <c r="E1" s="143"/>
      <c r="F1" s="143"/>
      <c r="G1" s="143"/>
      <c r="H1" s="143"/>
      <c r="I1" s="143"/>
      <c r="J1" s="143"/>
    </row>
    <row r="2" spans="2:10" s="3" customFormat="1" ht="15.75" x14ac:dyDescent="0.25">
      <c r="B2" s="2"/>
    </row>
    <row r="3" spans="2:10" s="3" customFormat="1" ht="15.75" x14ac:dyDescent="0.25">
      <c r="B3" s="2" t="s">
        <v>1</v>
      </c>
    </row>
    <row r="4" spans="2:10" s="3" customFormat="1" ht="15.75" x14ac:dyDescent="0.25">
      <c r="B4" s="2"/>
    </row>
    <row r="5" spans="2:10" s="3" customFormat="1" ht="16.5" customHeight="1" x14ac:dyDescent="0.25">
      <c r="B5" s="2"/>
      <c r="C5" s="3" t="s">
        <v>2</v>
      </c>
    </row>
    <row r="6" spans="2:10" s="3" customFormat="1" ht="5.25" customHeight="1" x14ac:dyDescent="0.25">
      <c r="B6" s="2"/>
    </row>
    <row r="7" spans="2:10" s="3" customFormat="1" ht="171.75" customHeight="1" x14ac:dyDescent="0.25">
      <c r="B7" s="2"/>
      <c r="C7" s="145" t="s">
        <v>355</v>
      </c>
      <c r="D7" s="146"/>
      <c r="E7" s="146"/>
      <c r="F7" s="146"/>
      <c r="G7" s="146"/>
      <c r="H7" s="147"/>
    </row>
    <row r="8" spans="2:10" s="3" customFormat="1" ht="66" customHeight="1" x14ac:dyDescent="0.25">
      <c r="B8" s="2"/>
      <c r="C8" s="153" t="s">
        <v>302</v>
      </c>
      <c r="D8" s="154"/>
      <c r="E8" s="154"/>
      <c r="F8" s="154"/>
      <c r="G8" s="154"/>
      <c r="H8" s="154"/>
    </row>
    <row r="9" spans="2:10" s="3" customFormat="1" ht="15.75" x14ac:dyDescent="0.25">
      <c r="B9" s="2"/>
    </row>
    <row r="10" spans="2:10" s="3" customFormat="1" ht="15.75" x14ac:dyDescent="0.25">
      <c r="B10" s="2" t="s">
        <v>3</v>
      </c>
    </row>
    <row r="11" spans="2:10" s="3" customFormat="1" ht="15.75" x14ac:dyDescent="0.25">
      <c r="B11" s="2"/>
    </row>
    <row r="12" spans="2:10" s="3" customFormat="1" ht="15.75" x14ac:dyDescent="0.25">
      <c r="B12" s="2"/>
      <c r="C12" s="3" t="s">
        <v>356</v>
      </c>
    </row>
    <row r="13" spans="2:10" s="3" customFormat="1" ht="15.75" x14ac:dyDescent="0.25">
      <c r="B13" s="2"/>
      <c r="C13" s="3" t="s">
        <v>361</v>
      </c>
    </row>
    <row r="14" spans="2:10" s="3" customFormat="1" ht="15.75" x14ac:dyDescent="0.25">
      <c r="B14" s="2"/>
      <c r="C14" s="3" t="s">
        <v>362</v>
      </c>
    </row>
    <row r="15" spans="2:10" s="3" customFormat="1" ht="15.75" x14ac:dyDescent="0.25">
      <c r="B15" s="2"/>
    </row>
    <row r="16" spans="2:10" s="3" customFormat="1" ht="15.75" x14ac:dyDescent="0.25">
      <c r="B16" s="2"/>
      <c r="E16" s="4" t="s">
        <v>228</v>
      </c>
    </row>
    <row r="17" spans="2:8" s="3" customFormat="1" ht="15.75" x14ac:dyDescent="0.25">
      <c r="B17" s="2"/>
      <c r="C17" s="3" t="s">
        <v>4</v>
      </c>
      <c r="E17" s="4">
        <v>365</v>
      </c>
    </row>
    <row r="18" spans="2:8" s="3" customFormat="1" ht="15.75" x14ac:dyDescent="0.25">
      <c r="B18" s="2"/>
      <c r="C18" s="3" t="s">
        <v>5</v>
      </c>
      <c r="E18" s="41">
        <f>-104</f>
        <v>-104</v>
      </c>
    </row>
    <row r="19" spans="2:8" s="3" customFormat="1" ht="15.75" x14ac:dyDescent="0.25">
      <c r="B19" s="2"/>
      <c r="C19" s="3" t="s">
        <v>6</v>
      </c>
      <c r="E19" s="41">
        <f>-25</f>
        <v>-25</v>
      </c>
    </row>
    <row r="20" spans="2:8" s="3" customFormat="1" ht="15.75" x14ac:dyDescent="0.25">
      <c r="B20" s="2"/>
      <c r="C20" s="3" t="s">
        <v>226</v>
      </c>
      <c r="E20" s="41">
        <f>-9</f>
        <v>-9</v>
      </c>
    </row>
    <row r="21" spans="2:8" s="3" customFormat="1" ht="15.75" x14ac:dyDescent="0.25">
      <c r="B21" s="2"/>
      <c r="C21" s="3" t="s">
        <v>7</v>
      </c>
      <c r="E21" s="51">
        <f>-10</f>
        <v>-10</v>
      </c>
      <c r="F21" s="3" t="s">
        <v>237</v>
      </c>
    </row>
    <row r="22" spans="2:8" s="3" customFormat="1" ht="15.75" x14ac:dyDescent="0.25">
      <c r="B22" s="2"/>
      <c r="C22" s="3" t="s">
        <v>161</v>
      </c>
      <c r="E22" s="41">
        <f xml:space="preserve"> + 1</f>
        <v>1</v>
      </c>
    </row>
    <row r="23" spans="2:8" s="3" customFormat="1" ht="15.75" x14ac:dyDescent="0.25">
      <c r="B23" s="2"/>
      <c r="E23" s="5">
        <f>SUM(E17:E22)</f>
        <v>218</v>
      </c>
    </row>
    <row r="24" spans="2:8" s="3" customFormat="1" ht="15.75" x14ac:dyDescent="0.25">
      <c r="B24" s="2"/>
    </row>
    <row r="25" spans="2:8" s="3" customFormat="1" ht="15.75" x14ac:dyDescent="0.25">
      <c r="B25" s="2" t="s">
        <v>358</v>
      </c>
      <c r="C25" s="3" t="s">
        <v>360</v>
      </c>
    </row>
    <row r="26" spans="2:8" s="3" customFormat="1" ht="15.75" x14ac:dyDescent="0.25">
      <c r="B26" s="2"/>
    </row>
    <row r="27" spans="2:8" s="3" customFormat="1" ht="15.75" x14ac:dyDescent="0.25">
      <c r="B27" s="2"/>
      <c r="E27" s="5">
        <v>2023</v>
      </c>
      <c r="F27" s="5">
        <v>2024</v>
      </c>
      <c r="G27" s="110">
        <v>2025</v>
      </c>
      <c r="H27" s="112">
        <v>2026</v>
      </c>
    </row>
    <row r="28" spans="2:8" s="3" customFormat="1" ht="15.75" x14ac:dyDescent="0.25">
      <c r="B28" s="177" t="s">
        <v>4</v>
      </c>
      <c r="C28" s="177"/>
      <c r="D28" s="178"/>
      <c r="E28" s="4">
        <v>365</v>
      </c>
      <c r="F28" s="4">
        <v>366</v>
      </c>
      <c r="G28" s="16">
        <v>365</v>
      </c>
      <c r="H28" s="16">
        <f t="shared" ref="H28:H33" si="0">G28</f>
        <v>365</v>
      </c>
    </row>
    <row r="29" spans="2:8" s="3" customFormat="1" ht="15.75" x14ac:dyDescent="0.25">
      <c r="B29" s="177" t="s">
        <v>5</v>
      </c>
      <c r="C29" s="177"/>
      <c r="D29" s="178"/>
      <c r="E29" s="41">
        <f>-105</f>
        <v>-105</v>
      </c>
      <c r="F29" s="4">
        <f>-104</f>
        <v>-104</v>
      </c>
      <c r="G29" s="16">
        <f>-104</f>
        <v>-104</v>
      </c>
      <c r="H29" s="16">
        <f t="shared" si="0"/>
        <v>-104</v>
      </c>
    </row>
    <row r="30" spans="2:8" s="3" customFormat="1" ht="15.75" x14ac:dyDescent="0.25">
      <c r="B30" s="179" t="s">
        <v>6</v>
      </c>
      <c r="C30" s="179"/>
      <c r="D30" s="183"/>
      <c r="E30" s="41">
        <f>-25</f>
        <v>-25</v>
      </c>
      <c r="F30" s="4">
        <f>-25</f>
        <v>-25</v>
      </c>
      <c r="G30" s="16">
        <f>-25</f>
        <v>-25</v>
      </c>
      <c r="H30" s="16">
        <f t="shared" si="0"/>
        <v>-25</v>
      </c>
    </row>
    <row r="31" spans="2:8" s="3" customFormat="1" ht="15.75" x14ac:dyDescent="0.25">
      <c r="B31" s="179" t="s">
        <v>359</v>
      </c>
      <c r="C31" s="179"/>
      <c r="D31" s="179"/>
      <c r="E31" s="41">
        <f>-9</f>
        <v>-9</v>
      </c>
      <c r="F31" s="4">
        <f>-10</f>
        <v>-10</v>
      </c>
      <c r="G31" s="16">
        <v>-10</v>
      </c>
      <c r="H31" s="16">
        <f>-9</f>
        <v>-9</v>
      </c>
    </row>
    <row r="32" spans="2:8" s="3" customFormat="1" ht="15.75" x14ac:dyDescent="0.25">
      <c r="B32" s="177" t="s">
        <v>7</v>
      </c>
      <c r="C32" s="177"/>
      <c r="D32" s="178"/>
      <c r="E32" s="51">
        <f>-9</f>
        <v>-9</v>
      </c>
      <c r="F32" s="49">
        <f>-10</f>
        <v>-10</v>
      </c>
      <c r="G32" s="52">
        <f>-9</f>
        <v>-9</v>
      </c>
      <c r="H32" s="52">
        <f>-10</f>
        <v>-10</v>
      </c>
    </row>
    <row r="33" spans="2:10" s="3" customFormat="1" ht="15.75" x14ac:dyDescent="0.25">
      <c r="B33" s="177" t="s">
        <v>161</v>
      </c>
      <c r="C33" s="177"/>
      <c r="D33" s="178"/>
      <c r="E33" s="41">
        <f xml:space="preserve"> 1</f>
        <v>1</v>
      </c>
      <c r="F33" s="4">
        <f>1</f>
        <v>1</v>
      </c>
      <c r="G33" s="16">
        <f>1</f>
        <v>1</v>
      </c>
      <c r="H33" s="16">
        <f t="shared" si="0"/>
        <v>1</v>
      </c>
    </row>
    <row r="34" spans="2:10" s="3" customFormat="1" ht="15.75" x14ac:dyDescent="0.25">
      <c r="B34" s="2"/>
      <c r="E34" s="5">
        <f>SUM(E28:E33)</f>
        <v>218</v>
      </c>
      <c r="F34" s="5">
        <f>SUM(F28:F33)</f>
        <v>218</v>
      </c>
      <c r="G34" s="111">
        <f>SUM(G28:G33)</f>
        <v>218</v>
      </c>
      <c r="H34" s="112">
        <f>SUM(H28:H33)</f>
        <v>218</v>
      </c>
    </row>
    <row r="35" spans="2:10" s="3" customFormat="1" ht="15.75" x14ac:dyDescent="0.25">
      <c r="B35" s="2"/>
      <c r="F35" s="40"/>
    </row>
    <row r="36" spans="2:10" s="3" customFormat="1" ht="15.75" x14ac:dyDescent="0.25">
      <c r="B36" s="3" t="s">
        <v>357</v>
      </c>
    </row>
    <row r="37" spans="2:10" s="3" customFormat="1" ht="15.75" x14ac:dyDescent="0.25">
      <c r="B37" s="2"/>
    </row>
    <row r="38" spans="2:10" s="3" customFormat="1" ht="15.75" x14ac:dyDescent="0.25">
      <c r="B38" s="2"/>
      <c r="G38" s="182">
        <v>2026</v>
      </c>
      <c r="H38" s="5">
        <v>2025</v>
      </c>
      <c r="I38" s="5">
        <v>2024</v>
      </c>
      <c r="J38" s="5">
        <v>2023</v>
      </c>
    </row>
    <row r="39" spans="2:10" s="3" customFormat="1" ht="15.75" x14ac:dyDescent="0.25">
      <c r="B39" s="2"/>
      <c r="C39" s="3" t="s">
        <v>4</v>
      </c>
      <c r="G39" s="16">
        <f>H39</f>
        <v>365</v>
      </c>
      <c r="H39" s="16">
        <f>E17</f>
        <v>365</v>
      </c>
      <c r="I39" s="4">
        <v>366</v>
      </c>
      <c r="J39" s="4">
        <v>365</v>
      </c>
    </row>
    <row r="40" spans="2:10" s="3" customFormat="1" ht="15.75" x14ac:dyDescent="0.25">
      <c r="B40" s="2"/>
      <c r="C40" s="3" t="s">
        <v>5</v>
      </c>
      <c r="G40" s="16">
        <f t="shared" ref="G40:G44" si="1">H40</f>
        <v>-104</v>
      </c>
      <c r="H40" s="16">
        <f>E18</f>
        <v>-104</v>
      </c>
      <c r="I40" s="4">
        <v>-104</v>
      </c>
      <c r="J40" s="41">
        <v>-105</v>
      </c>
    </row>
    <row r="41" spans="2:10" s="3" customFormat="1" ht="15.75" x14ac:dyDescent="0.25">
      <c r="B41" s="2"/>
      <c r="C41" s="3" t="s">
        <v>6</v>
      </c>
      <c r="G41" s="16">
        <f t="shared" si="1"/>
        <v>-25</v>
      </c>
      <c r="H41" s="16">
        <f>E19</f>
        <v>-25</v>
      </c>
      <c r="I41" s="4">
        <v>-25</v>
      </c>
      <c r="J41" s="41">
        <v>-25</v>
      </c>
    </row>
    <row r="42" spans="2:10" s="3" customFormat="1" ht="15.75" x14ac:dyDescent="0.25">
      <c r="B42" s="2"/>
      <c r="C42" s="3" t="s">
        <v>354</v>
      </c>
      <c r="G42" s="16">
        <f>-9</f>
        <v>-9</v>
      </c>
      <c r="H42" s="16">
        <f>-10</f>
        <v>-10</v>
      </c>
      <c r="I42" s="4">
        <v>-10</v>
      </c>
      <c r="J42" s="41">
        <v>-9</v>
      </c>
    </row>
    <row r="43" spans="2:10" s="3" customFormat="1" ht="15.75" x14ac:dyDescent="0.25">
      <c r="B43" s="2"/>
      <c r="C43" s="3" t="s">
        <v>7</v>
      </c>
      <c r="G43" s="52">
        <f>-12</f>
        <v>-12</v>
      </c>
      <c r="H43" s="52">
        <f>-11</f>
        <v>-11</v>
      </c>
      <c r="I43" s="49">
        <f>-12</f>
        <v>-12</v>
      </c>
      <c r="J43" s="51">
        <v>-11</v>
      </c>
    </row>
    <row r="44" spans="2:10" s="3" customFormat="1" ht="15.75" x14ac:dyDescent="0.25">
      <c r="B44" s="2"/>
      <c r="C44" s="3" t="s">
        <v>8</v>
      </c>
      <c r="G44" s="16">
        <f t="shared" si="1"/>
        <v>1</v>
      </c>
      <c r="H44" s="16">
        <f>E22</f>
        <v>1</v>
      </c>
      <c r="I44" s="4">
        <v>1</v>
      </c>
      <c r="J44" s="41">
        <v>1</v>
      </c>
    </row>
    <row r="45" spans="2:10" s="3" customFormat="1" ht="15.75" x14ac:dyDescent="0.25">
      <c r="B45" s="2"/>
      <c r="G45" s="109">
        <f>SUM(G39:G44)</f>
        <v>216</v>
      </c>
      <c r="H45" s="109">
        <f t="shared" ref="H45:J45" si="2">SUM(H39:H44)</f>
        <v>216</v>
      </c>
      <c r="I45" s="109">
        <f t="shared" si="2"/>
        <v>216</v>
      </c>
      <c r="J45" s="109">
        <f t="shared" si="2"/>
        <v>216</v>
      </c>
    </row>
    <row r="46" spans="2:10" s="3" customFormat="1" ht="15.75" x14ac:dyDescent="0.25">
      <c r="B46" s="2"/>
    </row>
    <row r="47" spans="2:10" s="3" customFormat="1" ht="15.75" x14ac:dyDescent="0.25">
      <c r="B47" s="50" t="s">
        <v>224</v>
      </c>
      <c r="C47" s="50"/>
      <c r="D47" s="50"/>
      <c r="E47" s="50"/>
      <c r="F47" s="50"/>
      <c r="G47" s="50"/>
      <c r="H47" s="50"/>
    </row>
    <row r="48" spans="2:10" s="3" customFormat="1" ht="15.75" x14ac:dyDescent="0.25">
      <c r="B48" s="53" t="s">
        <v>225</v>
      </c>
      <c r="C48" s="50"/>
      <c r="D48" s="50"/>
      <c r="E48" s="50"/>
      <c r="F48" s="50"/>
      <c r="G48" s="50"/>
      <c r="H48" s="50"/>
    </row>
    <row r="49" spans="2:13" s="3" customFormat="1" ht="15.75" x14ac:dyDescent="0.25"/>
    <row r="50" spans="2:13" s="3" customFormat="1" ht="15.75" x14ac:dyDescent="0.25">
      <c r="B50" s="2" t="s">
        <v>363</v>
      </c>
    </row>
    <row r="51" spans="2:13" s="3" customFormat="1" ht="15.75" x14ac:dyDescent="0.25">
      <c r="B51" s="2"/>
      <c r="C51" s="2"/>
    </row>
    <row r="52" spans="2:13" s="3" customFormat="1" ht="15.75" x14ac:dyDescent="0.25">
      <c r="D52" s="2"/>
    </row>
    <row r="53" spans="2:13" customFormat="1" ht="39.6" customHeight="1" x14ac:dyDescent="0.25">
      <c r="B53" s="6"/>
      <c r="C53" s="6"/>
      <c r="D53" s="6"/>
      <c r="E53" s="157" t="s">
        <v>174</v>
      </c>
      <c r="F53" s="158"/>
      <c r="G53" s="148" t="s">
        <v>301</v>
      </c>
      <c r="H53" s="148"/>
      <c r="I53" s="148"/>
      <c r="J53" s="155" t="s">
        <v>353</v>
      </c>
      <c r="K53" s="156"/>
    </row>
    <row r="54" spans="2:13" customFormat="1" x14ac:dyDescent="0.25">
      <c r="B54" s="136" t="s">
        <v>163</v>
      </c>
      <c r="C54" s="137"/>
      <c r="D54" s="144"/>
      <c r="E54" s="8" t="s">
        <v>175</v>
      </c>
      <c r="F54" s="7">
        <v>1</v>
      </c>
      <c r="G54" s="61">
        <v>1</v>
      </c>
      <c r="H54" s="149" t="s">
        <v>238</v>
      </c>
      <c r="I54" s="150"/>
      <c r="J54" s="108" t="s">
        <v>303</v>
      </c>
      <c r="K54" s="24">
        <v>1</v>
      </c>
    </row>
    <row r="55" spans="2:13" customFormat="1" x14ac:dyDescent="0.25">
      <c r="B55" s="136" t="s">
        <v>164</v>
      </c>
      <c r="C55" s="137"/>
      <c r="D55" s="144"/>
      <c r="E55" s="8" t="s">
        <v>176</v>
      </c>
      <c r="F55" s="7">
        <v>1</v>
      </c>
      <c r="G55" s="24">
        <v>1</v>
      </c>
      <c r="H55" s="136" t="s">
        <v>239</v>
      </c>
      <c r="I55" s="137"/>
      <c r="J55" s="108" t="s">
        <v>304</v>
      </c>
      <c r="K55" s="24">
        <v>1</v>
      </c>
    </row>
    <row r="56" spans="2:13" customFormat="1" x14ac:dyDescent="0.25">
      <c r="B56" s="136" t="s">
        <v>165</v>
      </c>
      <c r="C56" s="137"/>
      <c r="D56" s="144"/>
      <c r="E56" s="8" t="s">
        <v>177</v>
      </c>
      <c r="F56" s="7">
        <v>1</v>
      </c>
      <c r="G56" s="24">
        <v>1</v>
      </c>
      <c r="H56" s="136" t="s">
        <v>240</v>
      </c>
      <c r="I56" s="137"/>
      <c r="J56" s="108" t="s">
        <v>305</v>
      </c>
      <c r="K56" s="24">
        <v>1</v>
      </c>
    </row>
    <row r="57" spans="2:13" customFormat="1" x14ac:dyDescent="0.25">
      <c r="B57" s="136" t="s">
        <v>166</v>
      </c>
      <c r="C57" s="137"/>
      <c r="D57" s="144"/>
      <c r="E57" s="8" t="s">
        <v>178</v>
      </c>
      <c r="F57" s="7">
        <v>1</v>
      </c>
      <c r="G57" s="24">
        <v>1</v>
      </c>
      <c r="H57" s="136" t="s">
        <v>241</v>
      </c>
      <c r="I57" s="137"/>
      <c r="J57" s="108" t="s">
        <v>306</v>
      </c>
      <c r="K57" s="24">
        <v>1</v>
      </c>
    </row>
    <row r="58" spans="2:13" customFormat="1" x14ac:dyDescent="0.25">
      <c r="B58" s="136" t="s">
        <v>167</v>
      </c>
      <c r="C58" s="137"/>
      <c r="D58" s="144"/>
      <c r="E58" s="8" t="s">
        <v>179</v>
      </c>
      <c r="F58" s="7">
        <v>1</v>
      </c>
      <c r="G58" s="24">
        <v>1</v>
      </c>
      <c r="H58" s="136" t="s">
        <v>242</v>
      </c>
      <c r="I58" s="137"/>
      <c r="J58" s="108" t="s">
        <v>307</v>
      </c>
      <c r="K58" s="24">
        <v>1</v>
      </c>
    </row>
    <row r="59" spans="2:13" customFormat="1" x14ac:dyDescent="0.25">
      <c r="B59" s="136" t="s">
        <v>168</v>
      </c>
      <c r="C59" s="137"/>
      <c r="D59" s="144"/>
      <c r="E59" s="8" t="s">
        <v>180</v>
      </c>
      <c r="F59" s="7">
        <v>1</v>
      </c>
      <c r="G59" s="24">
        <v>1</v>
      </c>
      <c r="H59" s="136" t="s">
        <v>243</v>
      </c>
      <c r="I59" s="137"/>
      <c r="J59" s="108" t="s">
        <v>308</v>
      </c>
      <c r="K59" s="24">
        <v>1</v>
      </c>
    </row>
    <row r="60" spans="2:13" customFormat="1" x14ac:dyDescent="0.25">
      <c r="B60" s="159" t="s">
        <v>169</v>
      </c>
      <c r="C60" s="137"/>
      <c r="D60" s="144"/>
      <c r="E60" s="180" t="s">
        <v>181</v>
      </c>
      <c r="F60" s="181"/>
      <c r="G60" s="24">
        <v>1</v>
      </c>
      <c r="H60" s="136" t="s">
        <v>244</v>
      </c>
      <c r="I60" s="137"/>
      <c r="J60" s="108" t="s">
        <v>309</v>
      </c>
      <c r="K60" s="24">
        <v>1</v>
      </c>
    </row>
    <row r="61" spans="2:13" customFormat="1" x14ac:dyDescent="0.25">
      <c r="B61" s="136" t="s">
        <v>170</v>
      </c>
      <c r="C61" s="137"/>
      <c r="D61" s="144"/>
      <c r="E61" s="8" t="s">
        <v>182</v>
      </c>
      <c r="F61" s="7">
        <v>1</v>
      </c>
      <c r="G61" s="24">
        <v>1</v>
      </c>
      <c r="H61" s="136" t="s">
        <v>245</v>
      </c>
      <c r="I61" s="137"/>
      <c r="J61" s="107" t="s">
        <v>310</v>
      </c>
      <c r="K61" s="24"/>
    </row>
    <row r="62" spans="2:13" customFormat="1" x14ac:dyDescent="0.25">
      <c r="B62" s="136" t="s">
        <v>171</v>
      </c>
      <c r="C62" s="137"/>
      <c r="D62" s="144"/>
      <c r="E62" s="8" t="s">
        <v>183</v>
      </c>
      <c r="F62" s="7">
        <v>1</v>
      </c>
      <c r="G62" s="24"/>
      <c r="H62" s="141" t="s">
        <v>246</v>
      </c>
      <c r="I62" s="142"/>
      <c r="J62" s="107" t="s">
        <v>311</v>
      </c>
      <c r="K62" s="24"/>
      <c r="L62" s="1"/>
    </row>
    <row r="63" spans="2:13" customFormat="1" x14ac:dyDescent="0.25">
      <c r="B63" s="136" t="s">
        <v>172</v>
      </c>
      <c r="C63" s="137"/>
      <c r="D63" s="144"/>
      <c r="E63" s="8" t="s">
        <v>184</v>
      </c>
      <c r="F63" s="7">
        <v>1</v>
      </c>
      <c r="G63" s="24">
        <v>1</v>
      </c>
      <c r="H63" s="136" t="s">
        <v>247</v>
      </c>
      <c r="I63" s="137"/>
      <c r="J63" s="108" t="s">
        <v>312</v>
      </c>
      <c r="K63" s="24">
        <v>1</v>
      </c>
    </row>
    <row r="64" spans="2:13" customFormat="1" ht="15.75" x14ac:dyDescent="0.25">
      <c r="B64" s="136" t="s">
        <v>173</v>
      </c>
      <c r="C64" s="137"/>
      <c r="D64" s="144"/>
      <c r="E64" s="8" t="s">
        <v>185</v>
      </c>
      <c r="F64" s="7">
        <v>1</v>
      </c>
      <c r="G64" s="24">
        <v>1</v>
      </c>
      <c r="H64" s="136" t="s">
        <v>248</v>
      </c>
      <c r="I64" s="137"/>
      <c r="J64" s="108" t="s">
        <v>313</v>
      </c>
      <c r="K64" s="24">
        <v>1</v>
      </c>
      <c r="M64" s="3"/>
    </row>
    <row r="65" spans="2:11" customFormat="1" x14ac:dyDescent="0.25">
      <c r="B65" s="9"/>
      <c r="C65" s="9"/>
      <c r="D65" s="9"/>
      <c r="E65" s="9"/>
      <c r="F65" s="7">
        <f>SUM(F54:F64)</f>
        <v>10</v>
      </c>
      <c r="G65" s="24">
        <f>SUM(G54:G64)</f>
        <v>10</v>
      </c>
      <c r="H65" s="1"/>
      <c r="I65" s="1"/>
      <c r="K65" s="106">
        <f>SUM(K54:K64)</f>
        <v>9</v>
      </c>
    </row>
    <row r="66" spans="2:11" customFormat="1" x14ac:dyDescent="0.25">
      <c r="B66" s="9"/>
      <c r="C66" s="9"/>
      <c r="D66" s="9"/>
      <c r="E66" s="9"/>
      <c r="F66" s="184"/>
      <c r="G66" s="185"/>
      <c r="H66" s="1"/>
      <c r="I66" s="1"/>
      <c r="K66" s="186"/>
    </row>
    <row r="67" spans="2:11" s="3" customFormat="1" ht="27.6" customHeight="1" x14ac:dyDescent="0.25">
      <c r="B67" s="187" t="s">
        <v>223</v>
      </c>
      <c r="C67" s="187"/>
      <c r="D67" s="187"/>
      <c r="E67" s="187"/>
      <c r="F67" s="187"/>
      <c r="G67" s="187"/>
      <c r="H67" s="187"/>
    </row>
    <row r="68" spans="2:11" s="3" customFormat="1" ht="15.75" x14ac:dyDescent="0.25">
      <c r="C68" s="2"/>
    </row>
    <row r="69" spans="2:11" s="3" customFormat="1" ht="15.75" x14ac:dyDescent="0.25">
      <c r="B69" s="2" t="s">
        <v>364</v>
      </c>
    </row>
    <row r="70" spans="2:11" s="3" customFormat="1" ht="15.75" x14ac:dyDescent="0.25">
      <c r="C70" s="2"/>
    </row>
    <row r="71" spans="2:11" s="3" customFormat="1" ht="15.75" x14ac:dyDescent="0.25">
      <c r="C71" s="3" t="s">
        <v>9</v>
      </c>
    </row>
    <row r="72" spans="2:11" s="3" customFormat="1" ht="15.75" x14ac:dyDescent="0.25">
      <c r="C72" s="3" t="s">
        <v>10</v>
      </c>
    </row>
    <row r="73" spans="2:11" s="3" customFormat="1" ht="15.75" x14ac:dyDescent="0.25">
      <c r="C73" s="3" t="s">
        <v>11</v>
      </c>
    </row>
    <row r="74" spans="2:11" s="3" customFormat="1" ht="15.75" x14ac:dyDescent="0.25">
      <c r="C74" s="3" t="s">
        <v>12</v>
      </c>
    </row>
    <row r="75" spans="2:11" s="3" customFormat="1" ht="15.75" x14ac:dyDescent="0.25">
      <c r="C75" s="3" t="s">
        <v>13</v>
      </c>
    </row>
    <row r="76" spans="2:11" s="3" customFormat="1" ht="15.75" x14ac:dyDescent="0.25"/>
    <row r="77" spans="2:11" s="3" customFormat="1" ht="15.75" x14ac:dyDescent="0.25">
      <c r="C77" s="2" t="s">
        <v>14</v>
      </c>
    </row>
    <row r="78" spans="2:11" s="3" customFormat="1" ht="15.75" x14ac:dyDescent="0.25"/>
    <row r="79" spans="2:11" s="3" customFormat="1" ht="15.75" x14ac:dyDescent="0.25">
      <c r="C79" s="3" t="s">
        <v>15</v>
      </c>
    </row>
    <row r="80" spans="2:11" s="3" customFormat="1" ht="15.75" x14ac:dyDescent="0.25">
      <c r="C80" s="3" t="s">
        <v>16</v>
      </c>
    </row>
    <row r="81" spans="2:11" s="3" customFormat="1" ht="15.75" x14ac:dyDescent="0.25">
      <c r="C81" s="3" t="s">
        <v>17</v>
      </c>
    </row>
    <row r="82" spans="2:11" s="3" customFormat="1" ht="15.75" x14ac:dyDescent="0.25"/>
    <row r="83" spans="2:11" s="3" customFormat="1" ht="15.75" x14ac:dyDescent="0.25">
      <c r="E83" s="3" t="s">
        <v>18</v>
      </c>
      <c r="F83" s="3" t="s">
        <v>19</v>
      </c>
      <c r="G83" s="10">
        <f>40000/218</f>
        <v>183.48623853211009</v>
      </c>
    </row>
    <row r="84" spans="2:11" s="3" customFormat="1" ht="15.75" x14ac:dyDescent="0.25">
      <c r="E84" s="3" t="s">
        <v>20</v>
      </c>
      <c r="F84" s="3" t="s">
        <v>21</v>
      </c>
      <c r="G84" s="10">
        <f>G83/7</f>
        <v>26.212319790301443</v>
      </c>
    </row>
    <row r="85" spans="2:11" s="3" customFormat="1" ht="15.75" x14ac:dyDescent="0.25">
      <c r="E85" s="3" t="s">
        <v>22</v>
      </c>
      <c r="G85" s="11">
        <f>G84*3</f>
        <v>78.636959370904322</v>
      </c>
    </row>
    <row r="86" spans="2:11" s="3" customFormat="1" ht="15.75" x14ac:dyDescent="0.25">
      <c r="K86" s="12"/>
    </row>
    <row r="87" spans="2:11" s="3" customFormat="1" ht="15.75" x14ac:dyDescent="0.25">
      <c r="C87" s="2" t="s">
        <v>23</v>
      </c>
      <c r="D87" s="3" t="s">
        <v>24</v>
      </c>
      <c r="K87" s="12"/>
    </row>
    <row r="88" spans="2:11" s="3" customFormat="1" ht="15.75" x14ac:dyDescent="0.25">
      <c r="K88" s="12"/>
    </row>
    <row r="89" spans="2:11" ht="15.75" x14ac:dyDescent="0.25">
      <c r="C89" s="138" t="s">
        <v>25</v>
      </c>
      <c r="D89" s="138"/>
      <c r="E89" s="138"/>
      <c r="F89" s="1" t="s">
        <v>26</v>
      </c>
      <c r="G89" s="10">
        <f>151.67*210/218</f>
        <v>146.10412844036696</v>
      </c>
    </row>
    <row r="90" spans="2:11" s="3" customFormat="1" ht="15.75" x14ac:dyDescent="0.25">
      <c r="C90" s="139" t="s">
        <v>27</v>
      </c>
      <c r="D90" s="139"/>
      <c r="E90" s="139"/>
      <c r="F90" s="3" t="s">
        <v>28</v>
      </c>
      <c r="G90" s="10">
        <f>G89*12</f>
        <v>1753.2495412844037</v>
      </c>
      <c r="K90" s="12"/>
    </row>
    <row r="91" spans="2:11" s="3" customFormat="1" ht="15.75" x14ac:dyDescent="0.25">
      <c r="D91" s="3" t="s">
        <v>29</v>
      </c>
      <c r="G91" s="10">
        <f>40000/G90</f>
        <v>22.814778534433046</v>
      </c>
      <c r="H91" s="3" t="s">
        <v>315</v>
      </c>
      <c r="K91" s="12"/>
    </row>
    <row r="92" spans="2:11" s="3" customFormat="1" ht="15.75" x14ac:dyDescent="0.25">
      <c r="C92" s="139" t="s">
        <v>30</v>
      </c>
      <c r="D92" s="139"/>
      <c r="E92" s="139"/>
      <c r="F92" s="140"/>
      <c r="G92" s="11">
        <f>G91*3</f>
        <v>68.444335603299137</v>
      </c>
      <c r="K92" s="12"/>
    </row>
    <row r="93" spans="2:11" s="3" customFormat="1" ht="15.75" x14ac:dyDescent="0.25">
      <c r="J93" s="13"/>
      <c r="K93" s="12"/>
    </row>
    <row r="94" spans="2:11" s="3" customFormat="1" ht="15.75" x14ac:dyDescent="0.25">
      <c r="B94" s="2" t="s">
        <v>31</v>
      </c>
      <c r="K94" s="12"/>
    </row>
    <row r="95" spans="2:11" s="3" customFormat="1" ht="15.75" x14ac:dyDescent="0.25">
      <c r="C95" s="2"/>
      <c r="K95" s="12"/>
    </row>
    <row r="96" spans="2:11" s="3" customFormat="1" ht="15.75" x14ac:dyDescent="0.25">
      <c r="C96" s="2" t="s">
        <v>32</v>
      </c>
    </row>
    <row r="97" spans="3:11" s="3" customFormat="1" ht="15.75" x14ac:dyDescent="0.25">
      <c r="C97" s="2"/>
    </row>
    <row r="98" spans="3:11" s="3" customFormat="1" ht="15.75" x14ac:dyDescent="0.25">
      <c r="C98" s="2"/>
      <c r="D98" s="3" t="s">
        <v>33</v>
      </c>
    </row>
    <row r="99" spans="3:11" s="3" customFormat="1" ht="15.75" x14ac:dyDescent="0.25">
      <c r="D99" s="3" t="s">
        <v>34</v>
      </c>
    </row>
    <row r="100" spans="3:11" s="3" customFormat="1" ht="15.75" x14ac:dyDescent="0.25">
      <c r="D100" s="3" t="s">
        <v>365</v>
      </c>
    </row>
    <row r="101" spans="3:11" s="3" customFormat="1" ht="15.75" x14ac:dyDescent="0.25">
      <c r="D101" s="3" t="s">
        <v>366</v>
      </c>
    </row>
    <row r="102" spans="3:11" s="3" customFormat="1" ht="15.75" x14ac:dyDescent="0.25"/>
    <row r="103" spans="3:11" s="3" customFormat="1" ht="15.75" x14ac:dyDescent="0.25">
      <c r="D103" s="3" t="s">
        <v>35</v>
      </c>
    </row>
    <row r="104" spans="3:11" s="3" customFormat="1" ht="15.75" x14ac:dyDescent="0.25">
      <c r="K104" s="12"/>
    </row>
    <row r="105" spans="3:11" s="3" customFormat="1" ht="15.75" x14ac:dyDescent="0.25">
      <c r="E105" s="3" t="s">
        <v>367</v>
      </c>
    </row>
    <row r="106" spans="3:11" s="3" customFormat="1" ht="15.75" x14ac:dyDescent="0.25">
      <c r="G106" s="3" t="s">
        <v>368</v>
      </c>
      <c r="H106" s="14">
        <f>40000/252</f>
        <v>158.73015873015873</v>
      </c>
    </row>
    <row r="107" spans="3:11" s="3" customFormat="1" ht="15.75" x14ac:dyDescent="0.25">
      <c r="E107" s="3" t="s">
        <v>36</v>
      </c>
      <c r="H107" s="15"/>
    </row>
    <row r="108" spans="3:11" s="3" customFormat="1" ht="15.75" x14ac:dyDescent="0.25">
      <c r="G108" s="3" t="s">
        <v>316</v>
      </c>
      <c r="H108" s="14">
        <f>H106*5</f>
        <v>793.65079365079373</v>
      </c>
    </row>
    <row r="109" spans="3:11" s="3" customFormat="1" ht="15.75" x14ac:dyDescent="0.25">
      <c r="I109" s="15"/>
    </row>
    <row r="110" spans="3:11" s="3" customFormat="1" ht="15.75" x14ac:dyDescent="0.25">
      <c r="D110" s="3" t="s">
        <v>139</v>
      </c>
      <c r="I110" s="15"/>
    </row>
    <row r="111" spans="3:11" s="3" customFormat="1" ht="15.75" x14ac:dyDescent="0.25">
      <c r="H111" s="15"/>
    </row>
    <row r="112" spans="3:11" s="3" customFormat="1" ht="15.75" x14ac:dyDescent="0.25">
      <c r="E112" s="16">
        <v>218</v>
      </c>
      <c r="G112" s="3" t="s">
        <v>318</v>
      </c>
      <c r="H112" s="14">
        <f>40000/E116</f>
        <v>151.5151515151515</v>
      </c>
    </row>
    <row r="113" spans="2:10" s="3" customFormat="1" ht="15.75" x14ac:dyDescent="0.25">
      <c r="E113" s="16">
        <v>25</v>
      </c>
      <c r="H113" s="15"/>
    </row>
    <row r="114" spans="2:10" s="3" customFormat="1" ht="15.75" x14ac:dyDescent="0.25">
      <c r="D114" s="3" t="s">
        <v>317</v>
      </c>
      <c r="E114" s="16">
        <v>10</v>
      </c>
      <c r="G114" s="3" t="s">
        <v>319</v>
      </c>
      <c r="H114" s="14">
        <f>H112*5</f>
        <v>757.57575757575751</v>
      </c>
    </row>
    <row r="115" spans="2:10" s="3" customFormat="1" ht="15.75" x14ac:dyDescent="0.25">
      <c r="D115" s="3" t="s">
        <v>7</v>
      </c>
      <c r="E115" s="16">
        <v>11</v>
      </c>
      <c r="I115" s="15"/>
    </row>
    <row r="116" spans="2:10" s="3" customFormat="1" ht="15.75" x14ac:dyDescent="0.25">
      <c r="E116" s="16">
        <f>SUM(E112:E115)</f>
        <v>264</v>
      </c>
      <c r="I116" s="15"/>
    </row>
    <row r="117" spans="2:10" s="3" customFormat="1" ht="15.75" x14ac:dyDescent="0.25">
      <c r="B117" s="2"/>
      <c r="C117" s="2" t="s">
        <v>37</v>
      </c>
    </row>
    <row r="118" spans="2:10" s="3" customFormat="1" ht="15.75" x14ac:dyDescent="0.25">
      <c r="B118" s="2"/>
    </row>
    <row r="119" spans="2:10" s="3" customFormat="1" ht="15.75" x14ac:dyDescent="0.25">
      <c r="D119" s="3" t="s">
        <v>140</v>
      </c>
      <c r="H119" s="3" t="s">
        <v>38</v>
      </c>
      <c r="I119" s="17">
        <f>40000/12</f>
        <v>3333.3333333333335</v>
      </c>
    </row>
    <row r="120" spans="2:10" s="3" customFormat="1" ht="15.75" x14ac:dyDescent="0.25">
      <c r="D120" s="3" t="s">
        <v>39</v>
      </c>
      <c r="I120" s="17">
        <f>I119/21.67</f>
        <v>153.82248884786955</v>
      </c>
    </row>
    <row r="121" spans="2:10" s="3" customFormat="1" ht="15.75" x14ac:dyDescent="0.25">
      <c r="D121" s="3" t="s">
        <v>40</v>
      </c>
      <c r="I121" s="14">
        <f>5*I120</f>
        <v>769.11244423934772</v>
      </c>
    </row>
    <row r="122" spans="2:10" x14ac:dyDescent="0.25">
      <c r="D122" s="1" t="s">
        <v>41</v>
      </c>
    </row>
    <row r="124" spans="2:10" x14ac:dyDescent="0.25">
      <c r="C124" s="18" t="s">
        <v>42</v>
      </c>
    </row>
    <row r="125" spans="2:10" ht="15.75" x14ac:dyDescent="0.25">
      <c r="D125" s="3" t="s">
        <v>43</v>
      </c>
      <c r="E125" s="3"/>
      <c r="F125" s="3"/>
      <c r="G125" s="3"/>
      <c r="H125" s="19">
        <v>40000</v>
      </c>
    </row>
    <row r="126" spans="2:10" ht="15.75" x14ac:dyDescent="0.25">
      <c r="D126" s="3" t="s">
        <v>44</v>
      </c>
      <c r="E126" s="3"/>
      <c r="F126" s="3"/>
      <c r="G126" s="3"/>
      <c r="H126" s="19" t="s">
        <v>45</v>
      </c>
      <c r="I126" s="20">
        <f>40000/218</f>
        <v>183.48623853211009</v>
      </c>
    </row>
    <row r="127" spans="2:10" ht="15.75" x14ac:dyDescent="0.25">
      <c r="D127" s="3" t="s">
        <v>46</v>
      </c>
      <c r="E127" s="3"/>
      <c r="F127" s="3"/>
      <c r="G127" s="3"/>
      <c r="H127" s="19">
        <v>5</v>
      </c>
      <c r="I127" s="14">
        <f>I126*H127</f>
        <v>917.43119266055044</v>
      </c>
    </row>
    <row r="128" spans="2:10" x14ac:dyDescent="0.25">
      <c r="J128" s="15"/>
    </row>
    <row r="129" spans="2:10" ht="15.75" x14ac:dyDescent="0.25">
      <c r="C129" s="3" t="s">
        <v>47</v>
      </c>
    </row>
    <row r="130" spans="2:10" x14ac:dyDescent="0.25">
      <c r="C130" s="116" t="s">
        <v>227</v>
      </c>
      <c r="D130" s="116"/>
      <c r="J130" s="15"/>
    </row>
    <row r="131" spans="2:10" x14ac:dyDescent="0.25">
      <c r="J131" s="15"/>
    </row>
    <row r="132" spans="2:10" ht="15.75" x14ac:dyDescent="0.25">
      <c r="B132" s="2" t="s">
        <v>158</v>
      </c>
    </row>
    <row r="134" spans="2:10" x14ac:dyDescent="0.25">
      <c r="C134" s="1" t="s">
        <v>143</v>
      </c>
    </row>
    <row r="135" spans="2:10" x14ac:dyDescent="0.25">
      <c r="C135" s="1" t="s">
        <v>162</v>
      </c>
    </row>
    <row r="138" spans="2:10" x14ac:dyDescent="0.25">
      <c r="B138" s="38" t="s">
        <v>32</v>
      </c>
      <c r="C138" s="32"/>
      <c r="D138" s="32"/>
      <c r="E138" s="32"/>
    </row>
    <row r="139" spans="2:10" x14ac:dyDescent="0.25">
      <c r="B139" s="32"/>
      <c r="C139" s="37" t="s">
        <v>144</v>
      </c>
      <c r="D139" s="32"/>
      <c r="E139" s="32"/>
    </row>
    <row r="140" spans="2:10" x14ac:dyDescent="0.25">
      <c r="B140" s="32"/>
      <c r="C140" s="37" t="s">
        <v>145</v>
      </c>
      <c r="D140" s="32"/>
      <c r="E140" s="32"/>
    </row>
    <row r="141" spans="2:10" x14ac:dyDescent="0.25">
      <c r="B141" s="32"/>
      <c r="C141" s="37" t="s">
        <v>157</v>
      </c>
      <c r="D141" s="32"/>
      <c r="E141" s="32"/>
    </row>
    <row r="142" spans="2:10" x14ac:dyDescent="0.25">
      <c r="B142" s="32"/>
      <c r="C142" s="37" t="s">
        <v>146</v>
      </c>
      <c r="D142" s="32"/>
      <c r="E142" s="32"/>
    </row>
    <row r="143" spans="2:10" x14ac:dyDescent="0.25">
      <c r="B143" s="32"/>
      <c r="C143" s="37"/>
      <c r="D143" s="32"/>
      <c r="E143" s="32"/>
    </row>
    <row r="144" spans="2:10" x14ac:dyDescent="0.25">
      <c r="B144" s="32"/>
      <c r="C144" s="37" t="s">
        <v>320</v>
      </c>
      <c r="D144" s="32"/>
      <c r="E144" s="32"/>
    </row>
    <row r="145" spans="2:8" x14ac:dyDescent="0.25">
      <c r="B145" s="32"/>
      <c r="C145" s="32"/>
      <c r="D145" s="32"/>
      <c r="E145" s="32"/>
    </row>
    <row r="146" spans="2:8" x14ac:dyDescent="0.25">
      <c r="B146" s="32"/>
      <c r="C146" s="37" t="s">
        <v>187</v>
      </c>
      <c r="D146" s="32"/>
      <c r="E146" s="32"/>
      <c r="G146" s="1" t="s">
        <v>321</v>
      </c>
    </row>
    <row r="147" spans="2:8" x14ac:dyDescent="0.25">
      <c r="B147" s="32"/>
      <c r="C147" s="32"/>
      <c r="D147" s="32"/>
      <c r="E147" s="32"/>
    </row>
    <row r="148" spans="2:8" x14ac:dyDescent="0.25">
      <c r="B148" s="32"/>
      <c r="C148" s="32"/>
      <c r="D148" s="132" t="s">
        <v>149</v>
      </c>
      <c r="E148" s="133"/>
      <c r="F148" s="43">
        <v>46135</v>
      </c>
      <c r="G148" s="32"/>
    </row>
    <row r="149" spans="2:8" x14ac:dyDescent="0.25">
      <c r="B149" s="32"/>
      <c r="C149" s="32"/>
      <c r="D149" s="132" t="s">
        <v>153</v>
      </c>
      <c r="E149" s="133"/>
      <c r="F149" s="43">
        <v>46023</v>
      </c>
      <c r="G149" s="32"/>
    </row>
    <row r="150" spans="2:8" x14ac:dyDescent="0.25">
      <c r="B150" s="32"/>
      <c r="C150" s="32"/>
      <c r="D150" s="132" t="s">
        <v>150</v>
      </c>
      <c r="E150" s="133"/>
      <c r="F150" s="43">
        <v>46387</v>
      </c>
      <c r="G150" s="32"/>
    </row>
    <row r="151" spans="2:8" x14ac:dyDescent="0.25">
      <c r="B151" s="32"/>
      <c r="C151" s="134" t="s">
        <v>151</v>
      </c>
      <c r="D151" s="134"/>
      <c r="E151" s="135"/>
      <c r="F151" s="45">
        <f>F150-F148+1</f>
        <v>253</v>
      </c>
      <c r="G151" s="39"/>
      <c r="H151" s="35"/>
    </row>
    <row r="152" spans="2:8" x14ac:dyDescent="0.25">
      <c r="B152" s="32"/>
      <c r="C152" s="32"/>
      <c r="D152" s="32"/>
      <c r="E152" s="34"/>
      <c r="F152" s="36"/>
    </row>
    <row r="153" spans="2:8" x14ac:dyDescent="0.25">
      <c r="B153" s="32"/>
      <c r="C153" s="37" t="s">
        <v>156</v>
      </c>
      <c r="D153" s="32"/>
      <c r="E153" s="32"/>
    </row>
    <row r="154" spans="2:8" x14ac:dyDescent="0.25">
      <c r="B154" s="32"/>
      <c r="C154" s="32"/>
      <c r="D154" s="32"/>
      <c r="E154" s="32"/>
    </row>
    <row r="155" spans="2:8" x14ac:dyDescent="0.25">
      <c r="B155" s="32"/>
      <c r="C155" s="32"/>
      <c r="D155" s="37" t="s">
        <v>149</v>
      </c>
      <c r="E155" s="37"/>
      <c r="F155" s="43">
        <v>46135</v>
      </c>
      <c r="G155" s="32"/>
    </row>
    <row r="156" spans="2:8" x14ac:dyDescent="0.25">
      <c r="B156" s="32"/>
      <c r="C156" s="32"/>
      <c r="D156" s="37" t="s">
        <v>152</v>
      </c>
      <c r="E156" s="37"/>
      <c r="F156" s="43">
        <v>46023</v>
      </c>
      <c r="G156" s="32"/>
    </row>
    <row r="157" spans="2:8" x14ac:dyDescent="0.25">
      <c r="B157" s="32"/>
      <c r="C157" s="32"/>
      <c r="D157" s="37" t="s">
        <v>150</v>
      </c>
      <c r="E157" s="37"/>
      <c r="F157" s="43">
        <v>46387</v>
      </c>
      <c r="G157" s="32"/>
    </row>
    <row r="158" spans="2:8" x14ac:dyDescent="0.25">
      <c r="B158" s="32"/>
      <c r="C158" s="134" t="s">
        <v>151</v>
      </c>
      <c r="D158" s="134"/>
      <c r="E158" s="135"/>
      <c r="F158" s="44">
        <f>F157-F155+1</f>
        <v>253</v>
      </c>
      <c r="G158" s="39"/>
    </row>
    <row r="159" spans="2:8" ht="14.45" customHeight="1" x14ac:dyDescent="0.25">
      <c r="B159" s="32"/>
      <c r="C159" s="134" t="s">
        <v>154</v>
      </c>
      <c r="D159" s="134"/>
      <c r="E159" s="135"/>
      <c r="F159" s="45">
        <f>NETWORKDAYS(F155,F157)</f>
        <v>181</v>
      </c>
      <c r="G159" s="39"/>
    </row>
    <row r="160" spans="2:8" ht="14.45" customHeight="1" x14ac:dyDescent="0.25">
      <c r="B160" s="32"/>
      <c r="C160" s="134" t="s">
        <v>155</v>
      </c>
      <c r="D160" s="134"/>
      <c r="E160" s="135"/>
      <c r="F160" s="44">
        <f>F158-F159</f>
        <v>72</v>
      </c>
      <c r="G160" s="39"/>
    </row>
    <row r="161" spans="2:7" x14ac:dyDescent="0.25">
      <c r="B161" s="32"/>
      <c r="C161" s="32"/>
      <c r="D161" s="32"/>
      <c r="E161" s="32"/>
    </row>
    <row r="162" spans="2:7" x14ac:dyDescent="0.25">
      <c r="B162" s="32"/>
      <c r="C162" s="37" t="s">
        <v>322</v>
      </c>
      <c r="D162" s="32"/>
      <c r="E162" s="32"/>
    </row>
    <row r="163" spans="2:7" x14ac:dyDescent="0.25">
      <c r="B163" s="32"/>
    </row>
    <row r="164" spans="2:7" x14ac:dyDescent="0.25">
      <c r="B164" s="32"/>
      <c r="C164" s="37" t="s">
        <v>332</v>
      </c>
    </row>
    <row r="165" spans="2:7" x14ac:dyDescent="0.25">
      <c r="B165" s="32"/>
      <c r="C165" s="1">
        <f>11*253/365</f>
        <v>7.624657534246575</v>
      </c>
      <c r="D165" s="32"/>
      <c r="E165" s="1" t="s">
        <v>323</v>
      </c>
      <c r="F165" s="1" t="s">
        <v>297</v>
      </c>
    </row>
    <row r="166" spans="2:7" x14ac:dyDescent="0.25">
      <c r="B166" s="32"/>
      <c r="C166" s="37" t="s">
        <v>298</v>
      </c>
      <c r="D166" s="32"/>
      <c r="E166" s="32"/>
    </row>
    <row r="167" spans="2:7" x14ac:dyDescent="0.25">
      <c r="B167" s="32"/>
      <c r="D167" s="32"/>
      <c r="E167" s="32"/>
    </row>
    <row r="168" spans="2:7" x14ac:dyDescent="0.25">
      <c r="B168" s="32"/>
      <c r="C168" s="132" t="s">
        <v>151</v>
      </c>
      <c r="D168" s="132"/>
      <c r="E168" s="133"/>
      <c r="F168" s="24">
        <f>F151</f>
        <v>253</v>
      </c>
    </row>
    <row r="169" spans="2:7" ht="14.45" customHeight="1" x14ac:dyDescent="0.25">
      <c r="B169" s="32"/>
      <c r="C169" s="132" t="s">
        <v>74</v>
      </c>
      <c r="D169" s="132"/>
      <c r="E169" s="133"/>
      <c r="F169" s="24">
        <f>-72</f>
        <v>-72</v>
      </c>
    </row>
    <row r="170" spans="2:7" x14ac:dyDescent="0.25">
      <c r="B170" s="32"/>
      <c r="C170" s="132" t="s">
        <v>188</v>
      </c>
      <c r="D170" s="132"/>
      <c r="E170" s="133"/>
      <c r="F170" s="24">
        <f>-8</f>
        <v>-8</v>
      </c>
    </row>
    <row r="171" spans="2:7" x14ac:dyDescent="0.25">
      <c r="B171" s="32"/>
      <c r="C171" s="132" t="s">
        <v>189</v>
      </c>
      <c r="D171" s="132"/>
      <c r="E171" s="133"/>
      <c r="F171" s="24">
        <v>-8</v>
      </c>
      <c r="G171" s="1" t="s">
        <v>324</v>
      </c>
    </row>
    <row r="172" spans="2:7" x14ac:dyDescent="0.25">
      <c r="B172" s="32"/>
      <c r="C172" s="132" t="s">
        <v>8</v>
      </c>
      <c r="D172" s="132"/>
      <c r="E172" s="133"/>
      <c r="F172" s="24">
        <f>1</f>
        <v>1</v>
      </c>
    </row>
    <row r="173" spans="2:7" x14ac:dyDescent="0.25">
      <c r="B173" s="32"/>
      <c r="C173" s="126" t="s">
        <v>190</v>
      </c>
      <c r="D173" s="126"/>
      <c r="E173" s="127"/>
      <c r="F173" s="24">
        <f>SUM(F168:F172)</f>
        <v>166</v>
      </c>
    </row>
    <row r="174" spans="2:7" x14ac:dyDescent="0.25">
      <c r="B174" s="32"/>
      <c r="C174" s="32"/>
      <c r="D174" s="32"/>
      <c r="E174" s="32"/>
    </row>
    <row r="175" spans="2:7" x14ac:dyDescent="0.25">
      <c r="B175" s="38" t="s">
        <v>159</v>
      </c>
      <c r="C175" s="32"/>
      <c r="D175" s="32"/>
      <c r="E175" s="32"/>
    </row>
    <row r="176" spans="2:7" x14ac:dyDescent="0.25">
      <c r="B176" s="32"/>
      <c r="C176" s="32"/>
      <c r="D176" s="32"/>
      <c r="E176" s="32"/>
    </row>
    <row r="177" spans="2:9" x14ac:dyDescent="0.25">
      <c r="B177" s="37" t="s">
        <v>147</v>
      </c>
      <c r="C177" s="32"/>
      <c r="D177" s="32"/>
      <c r="E177" s="32"/>
    </row>
    <row r="178" spans="2:9" x14ac:dyDescent="0.25">
      <c r="B178" s="37"/>
      <c r="C178" s="32"/>
      <c r="D178" s="32"/>
      <c r="E178" s="32"/>
    </row>
    <row r="179" spans="2:9" x14ac:dyDescent="0.25">
      <c r="B179" s="37" t="s">
        <v>145</v>
      </c>
      <c r="C179" s="32"/>
      <c r="D179" s="32"/>
      <c r="E179" s="32"/>
    </row>
    <row r="180" spans="2:9" x14ac:dyDescent="0.25">
      <c r="B180" s="37" t="s">
        <v>148</v>
      </c>
      <c r="C180" s="32"/>
      <c r="D180" s="32"/>
      <c r="E180" s="32"/>
    </row>
    <row r="181" spans="2:9" x14ac:dyDescent="0.25">
      <c r="B181" s="37" t="s">
        <v>146</v>
      </c>
      <c r="C181" s="32"/>
      <c r="D181" s="32"/>
      <c r="E181" s="32"/>
    </row>
    <row r="182" spans="2:9" x14ac:dyDescent="0.25">
      <c r="B182" s="37"/>
      <c r="C182" s="32"/>
      <c r="D182" s="32"/>
      <c r="E182" s="32"/>
    </row>
    <row r="183" spans="2:9" x14ac:dyDescent="0.25">
      <c r="B183" s="37" t="s">
        <v>191</v>
      </c>
    </row>
    <row r="184" spans="2:9" x14ac:dyDescent="0.25">
      <c r="B184" s="1" t="s">
        <v>192</v>
      </c>
      <c r="F184" s="1">
        <f>10*114/366</f>
        <v>3.1147540983606556</v>
      </c>
      <c r="G184" s="42" t="s">
        <v>236</v>
      </c>
    </row>
    <row r="186" spans="2:9" x14ac:dyDescent="0.25">
      <c r="B186" s="37" t="s">
        <v>160</v>
      </c>
      <c r="C186" s="37"/>
      <c r="E186" s="43">
        <v>46135</v>
      </c>
      <c r="F186" s="32" t="s">
        <v>325</v>
      </c>
    </row>
    <row r="187" spans="2:9" x14ac:dyDescent="0.25">
      <c r="B187" s="37" t="s">
        <v>152</v>
      </c>
      <c r="C187" s="37"/>
      <c r="E187" s="43">
        <v>46023</v>
      </c>
      <c r="F187" s="32" t="s">
        <v>326</v>
      </c>
    </row>
    <row r="188" spans="2:9" x14ac:dyDescent="0.25">
      <c r="B188" s="37" t="s">
        <v>150</v>
      </c>
      <c r="C188" s="37"/>
      <c r="E188" s="43">
        <v>46387</v>
      </c>
      <c r="F188" s="32" t="s">
        <v>327</v>
      </c>
    </row>
    <row r="189" spans="2:9" x14ac:dyDescent="0.25">
      <c r="B189" s="37" t="s">
        <v>151</v>
      </c>
      <c r="C189" s="37"/>
      <c r="E189" s="45">
        <f>E186-E187+1</f>
        <v>113</v>
      </c>
      <c r="F189" s="39" t="s">
        <v>328</v>
      </c>
    </row>
    <row r="190" spans="2:9" x14ac:dyDescent="0.25">
      <c r="B190" s="37" t="s">
        <v>154</v>
      </c>
      <c r="C190" s="37"/>
      <c r="E190" s="113">
        <f>NETWORKDAYS(E187,E186)</f>
        <v>81</v>
      </c>
      <c r="F190" s="39" t="s">
        <v>329</v>
      </c>
    </row>
    <row r="191" spans="2:9" x14ac:dyDescent="0.25">
      <c r="B191" s="114" t="s">
        <v>155</v>
      </c>
      <c r="C191" s="37"/>
      <c r="E191" s="44">
        <f>E189-E190</f>
        <v>32</v>
      </c>
      <c r="F191" s="37">
        <f>E189-E190</f>
        <v>32</v>
      </c>
    </row>
    <row r="192" spans="2:9" x14ac:dyDescent="0.25">
      <c r="B192" s="37" t="s">
        <v>193</v>
      </c>
      <c r="C192" s="32"/>
      <c r="E192" s="44">
        <v>4</v>
      </c>
      <c r="F192" s="115" t="s">
        <v>330</v>
      </c>
      <c r="H192" s="1">
        <f>11*113/365</f>
        <v>3.4054794520547946</v>
      </c>
      <c r="I192" s="1" t="s">
        <v>331</v>
      </c>
    </row>
    <row r="193" spans="2:8" x14ac:dyDescent="0.25">
      <c r="B193" s="37"/>
      <c r="C193" s="32"/>
      <c r="D193" s="32"/>
      <c r="E193" s="32"/>
    </row>
    <row r="194" spans="2:8" x14ac:dyDescent="0.25">
      <c r="B194" s="32"/>
      <c r="C194" s="32"/>
      <c r="D194" s="32"/>
      <c r="E194" s="32"/>
    </row>
    <row r="195" spans="2:8" x14ac:dyDescent="0.25">
      <c r="C195" s="32"/>
      <c r="D195" s="32"/>
      <c r="E195" s="32"/>
    </row>
    <row r="196" spans="2:8" ht="15.75" x14ac:dyDescent="0.25">
      <c r="E196" s="117">
        <v>46204</v>
      </c>
      <c r="F196" s="3"/>
      <c r="G196" s="3"/>
      <c r="H196" s="3"/>
    </row>
    <row r="197" spans="2:8" ht="15.75" x14ac:dyDescent="0.25">
      <c r="E197" s="117">
        <v>46023</v>
      </c>
      <c r="F197" s="33"/>
      <c r="G197" s="33"/>
    </row>
    <row r="198" spans="2:8" ht="15.75" x14ac:dyDescent="0.25">
      <c r="D198" s="3"/>
      <c r="E198" s="117">
        <v>46387</v>
      </c>
      <c r="F198" s="33"/>
      <c r="G198" s="33"/>
    </row>
    <row r="199" spans="2:8" ht="15.75" x14ac:dyDescent="0.25">
      <c r="B199" s="2"/>
      <c r="C199" s="3"/>
      <c r="D199" s="3"/>
      <c r="E199" s="1">
        <f>E198-E196+1</f>
        <v>184</v>
      </c>
      <c r="F199" s="33"/>
      <c r="G199" s="33"/>
    </row>
    <row r="200" spans="2:8" ht="15.75" x14ac:dyDescent="0.25">
      <c r="F200" s="33"/>
      <c r="G200" s="33"/>
    </row>
    <row r="201" spans="2:8" ht="15.75" x14ac:dyDescent="0.25">
      <c r="C201" s="2"/>
      <c r="F201" s="33"/>
      <c r="G201" s="33"/>
    </row>
    <row r="202" spans="2:8" ht="15.75" x14ac:dyDescent="0.25">
      <c r="C202" s="2"/>
      <c r="F202" s="33"/>
      <c r="G202" s="33"/>
    </row>
    <row r="203" spans="2:8" ht="15.75" x14ac:dyDescent="0.25">
      <c r="C203" s="2"/>
      <c r="F203" s="33"/>
      <c r="G203" s="33"/>
    </row>
    <row r="204" spans="2:8" ht="15.75" x14ac:dyDescent="0.25">
      <c r="C204" s="2"/>
      <c r="F204" s="33"/>
      <c r="G204" s="33"/>
    </row>
    <row r="205" spans="2:8" ht="15.75" x14ac:dyDescent="0.25">
      <c r="B205" s="2" t="s">
        <v>49</v>
      </c>
      <c r="D205" s="3" t="s">
        <v>50</v>
      </c>
      <c r="F205" s="33"/>
      <c r="G205" s="33"/>
    </row>
    <row r="206" spans="2:8" ht="15.75" x14ac:dyDescent="0.25">
      <c r="B206" s="2"/>
      <c r="C206" s="3"/>
      <c r="F206" s="33"/>
      <c r="G206" s="33"/>
    </row>
    <row r="207" spans="2:8" ht="15.75" x14ac:dyDescent="0.25">
      <c r="C207" s="2" t="s">
        <v>48</v>
      </c>
      <c r="F207" s="33"/>
      <c r="G207" s="33"/>
    </row>
    <row r="208" spans="2:8" ht="15.75" x14ac:dyDescent="0.25">
      <c r="B208" s="3"/>
      <c r="C208" s="3"/>
      <c r="D208" s="3" t="s">
        <v>333</v>
      </c>
      <c r="E208" s="3"/>
      <c r="F208" s="33"/>
    </row>
    <row r="209" spans="2:11" ht="15.75" x14ac:dyDescent="0.25">
      <c r="B209" s="3"/>
      <c r="C209" s="3"/>
      <c r="D209" s="130" t="s">
        <v>141</v>
      </c>
      <c r="E209" s="130"/>
      <c r="F209" s="131"/>
      <c r="G209" s="4">
        <v>184</v>
      </c>
    </row>
    <row r="210" spans="2:11" ht="15.75" x14ac:dyDescent="0.25">
      <c r="B210" s="3"/>
      <c r="C210" s="3"/>
      <c r="D210" s="130" t="s">
        <v>51</v>
      </c>
      <c r="E210" s="130"/>
      <c r="F210" s="131"/>
      <c r="G210" s="4">
        <v>52</v>
      </c>
      <c r="H210" s="3"/>
    </row>
    <row r="211" spans="2:11" ht="15.75" x14ac:dyDescent="0.25">
      <c r="B211" s="3"/>
      <c r="C211" s="3"/>
      <c r="D211" s="130" t="s">
        <v>52</v>
      </c>
      <c r="E211" s="130"/>
      <c r="F211" s="131"/>
      <c r="G211" s="4">
        <v>4</v>
      </c>
      <c r="H211" s="3"/>
    </row>
    <row r="212" spans="2:11" ht="15.75" x14ac:dyDescent="0.25">
      <c r="B212" s="3"/>
      <c r="C212" s="3"/>
      <c r="D212" s="130" t="s">
        <v>53</v>
      </c>
      <c r="E212" s="130"/>
      <c r="F212" s="131"/>
      <c r="G212" s="4"/>
    </row>
    <row r="213" spans="2:11" ht="15.75" x14ac:dyDescent="0.25">
      <c r="B213" s="3"/>
      <c r="C213" s="128" t="s">
        <v>54</v>
      </c>
      <c r="D213" s="128"/>
      <c r="E213" s="128"/>
      <c r="F213" s="129"/>
      <c r="G213" s="4">
        <f>+ROUND(11*184/365,0)</f>
        <v>6</v>
      </c>
      <c r="H213" s="33" t="s">
        <v>334</v>
      </c>
    </row>
    <row r="214" spans="2:11" ht="15.75" x14ac:dyDescent="0.25">
      <c r="B214" s="3"/>
      <c r="C214" s="3"/>
      <c r="E214" s="33"/>
      <c r="G214" s="4">
        <f>G209-G210-G211-G213</f>
        <v>122</v>
      </c>
      <c r="H214" s="3" t="s">
        <v>335</v>
      </c>
    </row>
    <row r="215" spans="2:11" ht="15.75" x14ac:dyDescent="0.25">
      <c r="B215" s="3"/>
      <c r="C215" s="3"/>
      <c r="D215" s="3"/>
      <c r="E215" s="3"/>
      <c r="F215" s="3"/>
    </row>
    <row r="216" spans="2:11" ht="15.75" x14ac:dyDescent="0.25">
      <c r="F216" s="3"/>
      <c r="J216" s="121" t="s">
        <v>314</v>
      </c>
      <c r="K216" s="121"/>
    </row>
    <row r="217" spans="2:11" ht="15.75" x14ac:dyDescent="0.25">
      <c r="C217" s="18" t="s">
        <v>55</v>
      </c>
      <c r="F217" s="3"/>
      <c r="J217" s="16">
        <v>365</v>
      </c>
      <c r="K217" s="3"/>
    </row>
    <row r="218" spans="2:11" ht="15.75" x14ac:dyDescent="0.25">
      <c r="F218" s="3"/>
      <c r="J218" s="16">
        <f>-104</f>
        <v>-104</v>
      </c>
      <c r="K218" s="3"/>
    </row>
    <row r="219" spans="2:11" ht="15.75" x14ac:dyDescent="0.25">
      <c r="D219" s="3" t="s">
        <v>56</v>
      </c>
      <c r="E219" s="3"/>
      <c r="F219" s="3"/>
      <c r="J219" s="16">
        <f>-25</f>
        <v>-25</v>
      </c>
    </row>
    <row r="220" spans="2:11" ht="15.75" x14ac:dyDescent="0.25">
      <c r="D220" s="3" t="s">
        <v>57</v>
      </c>
      <c r="E220" s="3"/>
      <c r="F220" s="3"/>
      <c r="J220" s="16">
        <v>-10</v>
      </c>
      <c r="K220" s="16">
        <f>SUM(J217:J220)</f>
        <v>226</v>
      </c>
    </row>
    <row r="221" spans="2:11" ht="15.75" x14ac:dyDescent="0.25">
      <c r="D221" s="3" t="s">
        <v>337</v>
      </c>
      <c r="E221" s="3"/>
      <c r="J221" s="52">
        <f>-11</f>
        <v>-11</v>
      </c>
      <c r="K221" s="3"/>
    </row>
    <row r="222" spans="2:11" ht="15.75" x14ac:dyDescent="0.25">
      <c r="D222" s="1" t="s">
        <v>338</v>
      </c>
      <c r="E222" s="3"/>
      <c r="J222" s="16">
        <v>1</v>
      </c>
      <c r="K222" s="3"/>
    </row>
    <row r="223" spans="2:11" ht="15" customHeight="1" x14ac:dyDescent="0.25">
      <c r="D223" s="3" t="s">
        <v>138</v>
      </c>
      <c r="E223" s="3"/>
      <c r="J223" s="109">
        <f>SUM(J217:J222)</f>
        <v>216</v>
      </c>
      <c r="K223" s="3"/>
    </row>
    <row r="224" spans="2:11" ht="15" customHeight="1" x14ac:dyDescent="0.25">
      <c r="D224" s="3"/>
      <c r="E224" s="3"/>
    </row>
    <row r="225" spans="2:7" ht="20.25" customHeight="1" x14ac:dyDescent="0.25">
      <c r="C225" s="3" t="s">
        <v>58</v>
      </c>
      <c r="D225" s="3"/>
      <c r="E225" s="3"/>
      <c r="F225" s="3"/>
      <c r="G225" s="3"/>
    </row>
    <row r="226" spans="2:7" ht="15" customHeight="1" x14ac:dyDescent="0.25">
      <c r="C226" s="3"/>
      <c r="D226" s="3"/>
      <c r="E226" s="3"/>
      <c r="F226" s="3"/>
      <c r="G226" s="3"/>
    </row>
    <row r="227" spans="2:7" ht="15" customHeight="1" x14ac:dyDescent="0.25">
      <c r="B227" s="18" t="s">
        <v>37</v>
      </c>
      <c r="F227" s="3"/>
      <c r="G227" s="3"/>
    </row>
    <row r="228" spans="2:7" ht="15" customHeight="1" x14ac:dyDescent="0.25">
      <c r="B228" s="18"/>
      <c r="C228" s="18"/>
      <c r="F228" s="3"/>
      <c r="G228" s="3"/>
    </row>
    <row r="229" spans="2:7" ht="15" customHeight="1" x14ac:dyDescent="0.25">
      <c r="C229" s="18" t="s">
        <v>59</v>
      </c>
      <c r="F229" s="3"/>
      <c r="G229" s="3"/>
    </row>
    <row r="230" spans="2:7" ht="15.75" x14ac:dyDescent="0.25">
      <c r="C230" s="18"/>
      <c r="F230" s="3"/>
      <c r="G230" s="3"/>
    </row>
    <row r="231" spans="2:7" ht="15.75" x14ac:dyDescent="0.25">
      <c r="C231" s="3"/>
      <c r="D231" s="3" t="s">
        <v>336</v>
      </c>
      <c r="E231" s="3"/>
      <c r="F231" s="3"/>
      <c r="G231" s="3"/>
    </row>
    <row r="232" spans="2:7" ht="15.75" x14ac:dyDescent="0.25">
      <c r="C232" s="3"/>
      <c r="D232" s="3"/>
      <c r="E232" s="3"/>
      <c r="F232" s="3"/>
      <c r="G232" s="3"/>
    </row>
    <row r="233" spans="2:7" ht="15.75" x14ac:dyDescent="0.25">
      <c r="C233" s="3"/>
      <c r="D233" s="3" t="s">
        <v>60</v>
      </c>
      <c r="E233" s="3"/>
      <c r="F233" s="3"/>
      <c r="G233" s="3"/>
    </row>
    <row r="234" spans="2:7" ht="15.75" x14ac:dyDescent="0.25">
      <c r="C234" s="3"/>
      <c r="E234" s="3"/>
      <c r="F234" s="3"/>
      <c r="G234" s="3"/>
    </row>
    <row r="235" spans="2:7" ht="15.75" hidden="1" x14ac:dyDescent="0.25">
      <c r="C235" s="3"/>
      <c r="D235" s="3" t="s">
        <v>61</v>
      </c>
      <c r="E235" s="3"/>
      <c r="F235" s="3"/>
      <c r="G235" s="3"/>
    </row>
    <row r="236" spans="2:7" ht="15.75" hidden="1" x14ac:dyDescent="0.25">
      <c r="C236" s="3"/>
      <c r="D236" s="3"/>
      <c r="E236" s="3"/>
      <c r="F236" s="3"/>
      <c r="G236" s="3"/>
    </row>
    <row r="237" spans="2:7" ht="15.75" x14ac:dyDescent="0.25">
      <c r="C237" s="151" t="s">
        <v>62</v>
      </c>
      <c r="D237" s="151"/>
      <c r="E237" s="152"/>
      <c r="F237" s="3"/>
      <c r="G237" s="3"/>
    </row>
    <row r="238" spans="2:7" ht="15.75" x14ac:dyDescent="0.25">
      <c r="C238" s="122" t="s">
        <v>63</v>
      </c>
      <c r="D238" s="123"/>
      <c r="E238" s="21">
        <v>46144</v>
      </c>
      <c r="F238" s="3"/>
      <c r="G238" s="3"/>
    </row>
    <row r="239" spans="2:7" ht="22.9" customHeight="1" x14ac:dyDescent="0.25">
      <c r="C239" s="122" t="s">
        <v>64</v>
      </c>
      <c r="D239" s="123"/>
      <c r="E239" s="21">
        <v>46387</v>
      </c>
      <c r="F239" s="3"/>
      <c r="G239" s="3"/>
    </row>
    <row r="240" spans="2:7" ht="15.75" x14ac:dyDescent="0.25">
      <c r="C240" s="122" t="s">
        <v>65</v>
      </c>
      <c r="D240" s="123"/>
      <c r="E240" s="22">
        <f>E239-E238+1</f>
        <v>244</v>
      </c>
      <c r="F240" s="3" t="s">
        <v>194</v>
      </c>
      <c r="G240" s="3"/>
    </row>
    <row r="241" spans="2:7" ht="15.75" x14ac:dyDescent="0.25">
      <c r="C241" s="122" t="s">
        <v>142</v>
      </c>
      <c r="D241" s="123"/>
      <c r="E241" s="22">
        <f>-NETWORKDAYS(E239,E238)</f>
        <v>174</v>
      </c>
      <c r="F241" s="3" t="s">
        <v>194</v>
      </c>
      <c r="G241" s="3"/>
    </row>
    <row r="242" spans="2:7" ht="19.149999999999999" customHeight="1" x14ac:dyDescent="0.25">
      <c r="C242" s="122" t="s">
        <v>66</v>
      </c>
      <c r="D242" s="123"/>
      <c r="E242" s="22">
        <v>35</v>
      </c>
      <c r="F242" s="3" t="s">
        <v>194</v>
      </c>
      <c r="G242" s="3" t="s">
        <v>339</v>
      </c>
    </row>
    <row r="243" spans="2:7" ht="22.15" customHeight="1" x14ac:dyDescent="0.25">
      <c r="C243" s="122" t="s">
        <v>195</v>
      </c>
      <c r="D243" s="123"/>
      <c r="E243" s="22">
        <f>E240-E241-E242</f>
        <v>35</v>
      </c>
      <c r="G243" s="3"/>
    </row>
    <row r="244" spans="2:7" ht="15.75" x14ac:dyDescent="0.25">
      <c r="C244" s="122" t="s">
        <v>67</v>
      </c>
      <c r="D244" s="123"/>
      <c r="E244" s="22">
        <f>E241+E242</f>
        <v>209</v>
      </c>
      <c r="F244" s="3"/>
      <c r="G244" s="3"/>
    </row>
    <row r="245" spans="2:7" ht="27.75" customHeight="1" x14ac:dyDescent="0.25">
      <c r="C245" s="122" t="s">
        <v>197</v>
      </c>
      <c r="D245" s="123"/>
      <c r="E245" s="22">
        <f>-3</f>
        <v>-3</v>
      </c>
      <c r="F245" s="3" t="s">
        <v>340</v>
      </c>
      <c r="G245" s="3"/>
    </row>
    <row r="246" spans="2:7" ht="15.75" x14ac:dyDescent="0.25">
      <c r="C246" s="124" t="s">
        <v>196</v>
      </c>
      <c r="D246" s="125"/>
      <c r="E246" s="22">
        <f>-7</f>
        <v>-7</v>
      </c>
      <c r="G246" s="3"/>
    </row>
    <row r="247" spans="2:7" ht="27.75" customHeight="1" x14ac:dyDescent="0.25">
      <c r="C247" s="122" t="s">
        <v>8</v>
      </c>
      <c r="D247" s="123"/>
      <c r="E247" s="22">
        <v>1</v>
      </c>
      <c r="G247" s="3"/>
    </row>
    <row r="248" spans="2:7" ht="15.75" x14ac:dyDescent="0.25">
      <c r="C248" s="3"/>
      <c r="D248" s="3"/>
      <c r="E248" s="4">
        <f>E241+E245+E246+E247</f>
        <v>165</v>
      </c>
      <c r="G248" s="3"/>
    </row>
    <row r="249" spans="2:7" ht="15.75" x14ac:dyDescent="0.25">
      <c r="B249" s="3" t="s">
        <v>235</v>
      </c>
      <c r="D249" s="3"/>
      <c r="E249" s="19"/>
      <c r="F249" s="3"/>
      <c r="G249" s="3"/>
    </row>
    <row r="250" spans="2:7" ht="15.75" x14ac:dyDescent="0.25">
      <c r="B250" s="3" t="s">
        <v>201</v>
      </c>
      <c r="D250" s="3"/>
      <c r="E250" s="19"/>
      <c r="F250" s="3"/>
      <c r="G250" s="3"/>
    </row>
    <row r="251" spans="2:7" ht="15.75" x14ac:dyDescent="0.25">
      <c r="C251" s="3"/>
      <c r="D251" s="3"/>
      <c r="E251" s="3"/>
      <c r="F251" s="3"/>
      <c r="G251" s="3"/>
    </row>
    <row r="252" spans="2:7" ht="15.75" x14ac:dyDescent="0.25">
      <c r="C252" s="102" t="s">
        <v>341</v>
      </c>
      <c r="D252" s="37"/>
      <c r="E252" s="103"/>
      <c r="F252" s="103"/>
      <c r="G252" s="3"/>
    </row>
    <row r="253" spans="2:7" ht="15.75" x14ac:dyDescent="0.25">
      <c r="C253" s="103" t="s">
        <v>342</v>
      </c>
      <c r="D253" s="37"/>
      <c r="E253" s="103"/>
      <c r="F253" s="103"/>
      <c r="G253" s="3"/>
    </row>
    <row r="254" spans="2:7" ht="15.75" x14ac:dyDescent="0.25">
      <c r="C254" s="103"/>
      <c r="D254" s="103"/>
      <c r="E254" s="103"/>
      <c r="F254" s="103"/>
      <c r="G254" s="3"/>
    </row>
    <row r="255" spans="2:7" ht="15.75" x14ac:dyDescent="0.25">
      <c r="C255" s="103"/>
      <c r="D255" s="103"/>
      <c r="E255" s="104">
        <v>218</v>
      </c>
      <c r="F255" s="103"/>
      <c r="G255" s="3"/>
    </row>
    <row r="256" spans="2:7" ht="15.75" x14ac:dyDescent="0.25">
      <c r="C256" s="103"/>
      <c r="D256" s="103"/>
      <c r="E256" s="104">
        <v>25</v>
      </c>
      <c r="F256" s="103"/>
      <c r="G256" s="3"/>
    </row>
    <row r="257" spans="3:7" ht="15.75" x14ac:dyDescent="0.25">
      <c r="C257" s="103"/>
      <c r="D257" s="103"/>
      <c r="E257" s="104">
        <v>11</v>
      </c>
      <c r="F257" s="103" t="s">
        <v>343</v>
      </c>
      <c r="G257" s="3"/>
    </row>
    <row r="258" spans="3:7" ht="15.75" x14ac:dyDescent="0.25">
      <c r="C258" s="103"/>
      <c r="D258" s="103"/>
      <c r="E258" s="104">
        <f>SUM(E255:E257)</f>
        <v>254</v>
      </c>
      <c r="F258" s="103" t="s">
        <v>198</v>
      </c>
      <c r="G258" s="3"/>
    </row>
    <row r="259" spans="3:7" ht="15.75" x14ac:dyDescent="0.25">
      <c r="C259" s="103"/>
      <c r="D259" s="103"/>
      <c r="E259" s="37"/>
      <c r="F259" s="37"/>
      <c r="G259" s="3"/>
    </row>
    <row r="260" spans="3:7" ht="15.75" x14ac:dyDescent="0.25">
      <c r="C260" s="3"/>
      <c r="D260" s="3"/>
      <c r="E260" s="3"/>
      <c r="F260" s="3"/>
      <c r="G260" s="3"/>
    </row>
    <row r="261" spans="3:7" ht="15.75" x14ac:dyDescent="0.25">
      <c r="C261" s="3"/>
      <c r="D261" s="2" t="s">
        <v>69</v>
      </c>
      <c r="E261" s="3"/>
      <c r="F261" s="3"/>
      <c r="G261" s="3"/>
    </row>
    <row r="262" spans="3:7" ht="15.75" x14ac:dyDescent="0.25">
      <c r="C262" s="3"/>
      <c r="D262" s="3"/>
      <c r="E262" s="3"/>
    </row>
    <row r="263" spans="3:7" ht="15.75" x14ac:dyDescent="0.25">
      <c r="C263" s="3"/>
      <c r="D263" s="3" t="s">
        <v>344</v>
      </c>
    </row>
    <row r="264" spans="3:7" ht="15.75" x14ac:dyDescent="0.25">
      <c r="C264" s="3"/>
      <c r="D264" s="3" t="s">
        <v>70</v>
      </c>
    </row>
    <row r="265" spans="3:7" ht="15.75" x14ac:dyDescent="0.25">
      <c r="C265" s="3"/>
      <c r="D265" s="3" t="s">
        <v>71</v>
      </c>
    </row>
    <row r="266" spans="3:7" ht="15.75" x14ac:dyDescent="0.25">
      <c r="C266" s="3"/>
      <c r="D266" s="3" t="s">
        <v>200</v>
      </c>
    </row>
    <row r="267" spans="3:7" ht="15.75" x14ac:dyDescent="0.25">
      <c r="C267" s="3"/>
      <c r="D267" s="3" t="s">
        <v>202</v>
      </c>
    </row>
    <row r="268" spans="3:7" ht="15.75" x14ac:dyDescent="0.25">
      <c r="C268" s="3"/>
      <c r="D268" s="3"/>
      <c r="E268" s="3"/>
    </row>
    <row r="269" spans="3:7" ht="15.75" x14ac:dyDescent="0.25">
      <c r="C269" s="3"/>
      <c r="D269" s="3"/>
      <c r="E269" s="3"/>
    </row>
    <row r="270" spans="3:7" ht="15.75" x14ac:dyDescent="0.25">
      <c r="C270" s="3"/>
      <c r="D270" s="3"/>
      <c r="E270" s="3"/>
    </row>
    <row r="271" spans="3:7" x14ac:dyDescent="0.25">
      <c r="D271" s="18" t="s">
        <v>345</v>
      </c>
    </row>
    <row r="273" spans="2:17" ht="15.75" x14ac:dyDescent="0.25">
      <c r="E273" s="3" t="s">
        <v>346</v>
      </c>
      <c r="F273" s="23"/>
    </row>
    <row r="274" spans="2:17" ht="15.75" x14ac:dyDescent="0.25">
      <c r="E274" s="3" t="s">
        <v>72</v>
      </c>
      <c r="F274" s="18"/>
    </row>
    <row r="275" spans="2:17" ht="15.75" x14ac:dyDescent="0.25">
      <c r="E275" s="3" t="s">
        <v>299</v>
      </c>
      <c r="F275" s="18"/>
    </row>
    <row r="276" spans="2:17" x14ac:dyDescent="0.25">
      <c r="E276" s="1" t="s">
        <v>199</v>
      </c>
    </row>
    <row r="277" spans="2:17" x14ac:dyDescent="0.25">
      <c r="E277" s="1" t="s">
        <v>347</v>
      </c>
    </row>
    <row r="278" spans="2:17" ht="15.75" x14ac:dyDescent="0.25">
      <c r="E278" s="3"/>
    </row>
    <row r="279" spans="2:17" x14ac:dyDescent="0.25">
      <c r="N279" s="25"/>
      <c r="Q279" s="1">
        <v>1</v>
      </c>
    </row>
    <row r="280" spans="2:17" hidden="1" x14ac:dyDescent="0.25">
      <c r="Q280" s="1" t="e">
        <f ca="1">SOMME(Q279:Q279)</f>
        <v>#NAME?</v>
      </c>
    </row>
    <row r="281" spans="2:17" hidden="1" x14ac:dyDescent="0.25">
      <c r="B281" s="18" t="s">
        <v>78</v>
      </c>
      <c r="C281" s="1" t="s">
        <v>79</v>
      </c>
    </row>
    <row r="282" spans="2:17" ht="15.75" hidden="1" x14ac:dyDescent="0.25">
      <c r="F282" s="3"/>
      <c r="G282" s="3"/>
    </row>
    <row r="283" spans="2:17" ht="15.75" hidden="1" x14ac:dyDescent="0.25">
      <c r="D283" s="1" t="s">
        <v>80</v>
      </c>
      <c r="F283" s="3"/>
      <c r="G283" s="3"/>
    </row>
    <row r="284" spans="2:17" ht="15.75" hidden="1" x14ac:dyDescent="0.25">
      <c r="D284" s="1" t="s">
        <v>81</v>
      </c>
      <c r="F284" s="3"/>
      <c r="G284" s="3"/>
    </row>
    <row r="285" spans="2:17" ht="15.75" hidden="1" x14ac:dyDescent="0.25">
      <c r="F285" s="3"/>
      <c r="G285" s="3"/>
    </row>
    <row r="286" spans="2:17" ht="15.75" hidden="1" x14ac:dyDescent="0.25">
      <c r="D286" s="1" t="s">
        <v>82</v>
      </c>
      <c r="F286" s="3"/>
      <c r="G286" s="3"/>
    </row>
    <row r="287" spans="2:17" ht="15.75" hidden="1" x14ac:dyDescent="0.25">
      <c r="F287" s="3"/>
      <c r="G287" s="3"/>
    </row>
    <row r="288" spans="2:17" ht="15.75" hidden="1" x14ac:dyDescent="0.25">
      <c r="C288" s="3"/>
      <c r="D288" s="2" t="s">
        <v>83</v>
      </c>
      <c r="E288" s="3"/>
      <c r="F288" s="3"/>
      <c r="G288" s="3"/>
    </row>
    <row r="289" spans="2:7" ht="15.75" hidden="1" x14ac:dyDescent="0.25">
      <c r="C289" s="3"/>
      <c r="D289" s="2"/>
      <c r="E289" s="3"/>
      <c r="F289" s="3"/>
      <c r="G289" s="3"/>
    </row>
    <row r="290" spans="2:7" ht="15.75" hidden="1" x14ac:dyDescent="0.25">
      <c r="B290" s="1" t="s">
        <v>135</v>
      </c>
      <c r="C290" s="3"/>
      <c r="D290" s="2"/>
      <c r="E290" s="3"/>
      <c r="F290" s="3"/>
      <c r="G290" s="3"/>
    </row>
    <row r="291" spans="2:7" ht="15.75" hidden="1" x14ac:dyDescent="0.25">
      <c r="C291" s="3"/>
      <c r="D291" s="2"/>
      <c r="E291" s="3"/>
      <c r="F291" s="3"/>
      <c r="G291" s="3"/>
    </row>
    <row r="292" spans="2:7" ht="15.75" hidden="1" x14ac:dyDescent="0.25">
      <c r="B292" s="1" t="s">
        <v>134</v>
      </c>
      <c r="C292" s="3"/>
      <c r="D292" s="2"/>
      <c r="E292" s="3"/>
      <c r="F292" s="3"/>
      <c r="G292" s="3"/>
    </row>
    <row r="293" spans="2:7" ht="15.75" hidden="1" x14ac:dyDescent="0.25">
      <c r="C293" s="3"/>
      <c r="D293" s="2"/>
      <c r="E293" s="3"/>
      <c r="F293" s="3"/>
      <c r="G293" s="3"/>
    </row>
    <row r="294" spans="2:7" ht="15.75" hidden="1" x14ac:dyDescent="0.25">
      <c r="B294" s="1" t="s">
        <v>136</v>
      </c>
      <c r="C294" s="3"/>
      <c r="D294" s="2"/>
      <c r="E294" s="3"/>
      <c r="F294" s="3"/>
      <c r="G294" s="3"/>
    </row>
    <row r="295" spans="2:7" ht="15.75" hidden="1" x14ac:dyDescent="0.25">
      <c r="C295" s="3"/>
      <c r="D295" s="2"/>
      <c r="E295" s="3"/>
      <c r="F295" s="3"/>
      <c r="G295" s="3"/>
    </row>
    <row r="296" spans="2:7" ht="15.75" hidden="1" x14ac:dyDescent="0.25">
      <c r="B296" s="1" t="s">
        <v>137</v>
      </c>
      <c r="C296" s="3"/>
      <c r="D296" s="2"/>
      <c r="E296" s="3"/>
      <c r="F296" s="3"/>
      <c r="G296" s="3"/>
    </row>
    <row r="297" spans="2:7" ht="15.75" hidden="1" x14ac:dyDescent="0.25">
      <c r="C297" s="3"/>
      <c r="D297" s="2"/>
      <c r="E297" s="3"/>
      <c r="F297" s="3"/>
      <c r="G297" s="3"/>
    </row>
    <row r="298" spans="2:7" ht="15.75" hidden="1" x14ac:dyDescent="0.25">
      <c r="C298" s="3"/>
      <c r="D298" s="2"/>
      <c r="E298" s="3"/>
      <c r="F298" s="3"/>
      <c r="G298" s="3"/>
    </row>
    <row r="299" spans="2:7" ht="15.75" hidden="1" x14ac:dyDescent="0.25">
      <c r="C299" s="3"/>
      <c r="D299" s="2"/>
      <c r="E299" s="3"/>
      <c r="F299" s="3"/>
      <c r="G299" s="3"/>
    </row>
    <row r="300" spans="2:7" ht="15.75" hidden="1" x14ac:dyDescent="0.25">
      <c r="C300" s="3"/>
      <c r="D300" s="2"/>
      <c r="E300" s="3"/>
      <c r="F300" s="3"/>
      <c r="G300" s="3"/>
    </row>
    <row r="301" spans="2:7" ht="15.75" hidden="1" x14ac:dyDescent="0.25">
      <c r="C301" s="3"/>
      <c r="D301" s="2"/>
      <c r="E301" s="3"/>
      <c r="F301" s="3"/>
      <c r="G301" s="3"/>
    </row>
    <row r="302" spans="2:7" ht="15.75" hidden="1" x14ac:dyDescent="0.25">
      <c r="C302" s="3"/>
      <c r="D302" s="2"/>
      <c r="E302" s="3"/>
      <c r="F302" s="3"/>
      <c r="G302" s="3"/>
    </row>
    <row r="303" spans="2:7" ht="15.75" hidden="1" x14ac:dyDescent="0.25">
      <c r="C303" s="3"/>
      <c r="D303" s="2"/>
      <c r="E303" s="3"/>
      <c r="F303" s="3"/>
      <c r="G303" s="3"/>
    </row>
    <row r="304" spans="2:7" ht="15.75" hidden="1" x14ac:dyDescent="0.25">
      <c r="C304" s="3"/>
      <c r="D304" s="2"/>
      <c r="E304" s="3"/>
      <c r="F304" s="3"/>
      <c r="G304" s="3"/>
    </row>
    <row r="305" spans="3:8" ht="15.75" hidden="1" x14ac:dyDescent="0.25">
      <c r="C305" s="3"/>
      <c r="D305" s="2"/>
      <c r="E305" s="3"/>
      <c r="F305" s="3"/>
      <c r="G305" s="3"/>
    </row>
    <row r="306" spans="3:8" ht="15.75" hidden="1" x14ac:dyDescent="0.25">
      <c r="C306" s="3"/>
      <c r="D306" s="2"/>
      <c r="E306" s="3"/>
      <c r="F306" s="3"/>
      <c r="G306" s="3"/>
    </row>
    <row r="307" spans="3:8" ht="15.75" hidden="1" x14ac:dyDescent="0.25">
      <c r="C307" s="3"/>
      <c r="D307" s="2"/>
      <c r="E307" s="3"/>
      <c r="F307" s="3"/>
      <c r="G307" s="3"/>
    </row>
    <row r="308" spans="3:8" ht="15.75" hidden="1" x14ac:dyDescent="0.25">
      <c r="C308" s="3"/>
      <c r="D308" s="3"/>
      <c r="E308" s="3"/>
      <c r="F308" s="3"/>
      <c r="G308" s="3"/>
    </row>
    <row r="309" spans="3:8" ht="15.75" hidden="1" x14ac:dyDescent="0.25">
      <c r="C309" s="3"/>
      <c r="D309" s="3" t="s">
        <v>84</v>
      </c>
      <c r="F309" s="3"/>
      <c r="G309" s="3"/>
    </row>
    <row r="310" spans="3:8" ht="15.75" hidden="1" x14ac:dyDescent="0.25">
      <c r="C310" s="3"/>
      <c r="D310" s="3"/>
      <c r="E310" s="1" t="s">
        <v>85</v>
      </c>
    </row>
    <row r="311" spans="3:8" ht="15.75" hidden="1" x14ac:dyDescent="0.25">
      <c r="C311" s="3"/>
      <c r="D311" s="3"/>
      <c r="E311" s="1" t="s">
        <v>86</v>
      </c>
    </row>
    <row r="312" spans="3:8" ht="15.75" hidden="1" x14ac:dyDescent="0.25">
      <c r="C312" s="3"/>
      <c r="D312" s="3"/>
      <c r="E312" s="1" t="s">
        <v>87</v>
      </c>
    </row>
    <row r="313" spans="3:8" ht="15.75" hidden="1" x14ac:dyDescent="0.25">
      <c r="C313" s="3"/>
      <c r="D313" s="3"/>
    </row>
    <row r="314" spans="3:8" ht="15.75" hidden="1" x14ac:dyDescent="0.25">
      <c r="C314" s="3"/>
      <c r="D314" s="3" t="s">
        <v>88</v>
      </c>
      <c r="F314" s="23">
        <v>39.471666666666664</v>
      </c>
      <c r="G314" s="1" t="s">
        <v>73</v>
      </c>
    </row>
    <row r="315" spans="3:8" ht="15.75" hidden="1" x14ac:dyDescent="0.25">
      <c r="C315" s="3"/>
      <c r="D315" s="3"/>
      <c r="F315" s="23"/>
      <c r="H315" s="56"/>
    </row>
    <row r="316" spans="3:8" hidden="1" x14ac:dyDescent="0.25">
      <c r="D316" s="18" t="s">
        <v>89</v>
      </c>
      <c r="F316" s="23"/>
      <c r="G316" s="1">
        <v>39.5</v>
      </c>
    </row>
    <row r="317" spans="3:8" hidden="1" x14ac:dyDescent="0.25">
      <c r="F317" s="23"/>
    </row>
    <row r="318" spans="3:8" ht="15.75" hidden="1" x14ac:dyDescent="0.25">
      <c r="E318" s="3" t="s">
        <v>90</v>
      </c>
      <c r="F318" s="23"/>
    </row>
    <row r="319" spans="3:8" hidden="1" x14ac:dyDescent="0.25">
      <c r="F319" s="18"/>
    </row>
    <row r="320" spans="3:8" hidden="1" x14ac:dyDescent="0.25">
      <c r="E320" s="1" t="s">
        <v>91</v>
      </c>
    </row>
    <row r="321" spans="1:15" hidden="1" x14ac:dyDescent="0.25"/>
    <row r="322" spans="1:15" hidden="1" x14ac:dyDescent="0.25">
      <c r="E322" s="1" t="s">
        <v>92</v>
      </c>
      <c r="G322" s="42"/>
    </row>
    <row r="323" spans="1:15" hidden="1" x14ac:dyDescent="0.25">
      <c r="G323" s="42"/>
    </row>
    <row r="324" spans="1:15" hidden="1" x14ac:dyDescent="0.25">
      <c r="D324" s="1" t="s">
        <v>93</v>
      </c>
      <c r="E324" s="1" t="s">
        <v>94</v>
      </c>
      <c r="G324" s="42"/>
    </row>
    <row r="325" spans="1:15" hidden="1" x14ac:dyDescent="0.25">
      <c r="G325" s="42"/>
    </row>
    <row r="326" spans="1:15" hidden="1" x14ac:dyDescent="0.25">
      <c r="D326" s="18" t="s">
        <v>95</v>
      </c>
      <c r="G326" s="57"/>
    </row>
    <row r="327" spans="1:15" hidden="1" x14ac:dyDescent="0.25"/>
    <row r="328" spans="1:15" hidden="1" x14ac:dyDescent="0.25"/>
    <row r="329" spans="1:15" hidden="1" x14ac:dyDescent="0.25">
      <c r="N329" s="25"/>
    </row>
    <row r="330" spans="1:15" hidden="1" x14ac:dyDescent="0.25">
      <c r="N330" s="25"/>
    </row>
    <row r="331" spans="1:15" s="58" customFormat="1" hidden="1" x14ac:dyDescent="0.25">
      <c r="B331" s="1"/>
      <c r="C331" s="1"/>
      <c r="D331" s="1"/>
      <c r="E331" s="1"/>
    </row>
    <row r="332" spans="1:15" customFormat="1" hidden="1" x14ac:dyDescent="0.25">
      <c r="A332" s="42" t="s">
        <v>65</v>
      </c>
      <c r="B332" s="1"/>
      <c r="C332" s="1"/>
      <c r="D332" s="1"/>
      <c r="E332" s="1"/>
      <c r="F332" s="1"/>
      <c r="G332" s="1"/>
      <c r="H332" s="1"/>
      <c r="I332" s="1"/>
      <c r="J332" s="1"/>
      <c r="K332" s="1"/>
      <c r="L332" s="1"/>
      <c r="M332" s="1"/>
      <c r="N332" s="1"/>
      <c r="O332" s="1"/>
    </row>
    <row r="333" spans="1:15" customFormat="1" hidden="1" x14ac:dyDescent="0.25">
      <c r="A333" s="42" t="s">
        <v>74</v>
      </c>
      <c r="B333" s="1"/>
      <c r="C333" s="1"/>
      <c r="D333" s="1"/>
      <c r="E333" s="42"/>
      <c r="F333" s="1"/>
      <c r="G333" s="1"/>
      <c r="H333" s="1"/>
      <c r="I333" s="1"/>
      <c r="J333" s="1"/>
      <c r="K333" s="1"/>
      <c r="L333" s="1"/>
      <c r="M333" s="1"/>
      <c r="N333" s="1"/>
      <c r="O333" s="1"/>
    </row>
    <row r="334" spans="1:15" customFormat="1" hidden="1" x14ac:dyDescent="0.25">
      <c r="A334" s="42" t="s">
        <v>75</v>
      </c>
      <c r="B334" s="1"/>
      <c r="C334" s="1"/>
      <c r="D334" s="1"/>
      <c r="E334" s="59"/>
      <c r="F334" s="1"/>
      <c r="G334" s="1"/>
      <c r="H334" s="1"/>
      <c r="I334" s="1"/>
      <c r="J334" s="1"/>
      <c r="K334" s="1"/>
      <c r="L334" s="1"/>
      <c r="M334" s="1"/>
      <c r="N334" s="1"/>
      <c r="O334" s="1"/>
    </row>
    <row r="335" spans="1:15" customFormat="1" hidden="1" x14ac:dyDescent="0.25">
      <c r="A335" s="42" t="s">
        <v>76</v>
      </c>
      <c r="B335" s="1"/>
      <c r="C335" s="1"/>
      <c r="D335" s="1"/>
      <c r="E335" s="60"/>
      <c r="F335" s="1"/>
      <c r="G335" s="1"/>
      <c r="H335" s="1"/>
      <c r="I335" s="1"/>
      <c r="J335" s="1"/>
      <c r="K335" s="1"/>
      <c r="L335" s="1"/>
      <c r="M335" s="1"/>
      <c r="N335" s="1"/>
      <c r="O335" s="1"/>
    </row>
    <row r="336" spans="1:15" customFormat="1" hidden="1" x14ac:dyDescent="0.25">
      <c r="A336" s="42" t="s">
        <v>108</v>
      </c>
      <c r="B336" s="1"/>
      <c r="C336" s="1"/>
      <c r="D336" s="1"/>
      <c r="E336" s="1"/>
      <c r="F336" s="1"/>
      <c r="G336" s="1"/>
      <c r="H336" s="1"/>
      <c r="I336" s="1"/>
      <c r="J336" s="1"/>
      <c r="K336" s="1"/>
      <c r="L336" s="1"/>
      <c r="M336" s="1"/>
      <c r="N336" s="1"/>
      <c r="O336" s="1"/>
    </row>
    <row r="337" spans="1:15" customFormat="1" hidden="1" x14ac:dyDescent="0.25">
      <c r="A337" s="6" t="s">
        <v>109</v>
      </c>
      <c r="B337" s="58" t="s">
        <v>96</v>
      </c>
      <c r="C337" s="58" t="s">
        <v>97</v>
      </c>
      <c r="D337" s="1"/>
      <c r="E337" s="1"/>
      <c r="F337" s="1"/>
      <c r="G337" s="1"/>
      <c r="H337" s="1"/>
      <c r="I337" s="1"/>
      <c r="J337" s="1"/>
      <c r="K337" s="1"/>
      <c r="L337" s="1"/>
      <c r="M337" s="1"/>
      <c r="N337" s="1"/>
      <c r="O337" s="1"/>
    </row>
    <row r="338" spans="1:15" customFormat="1" hidden="1" x14ac:dyDescent="0.25">
      <c r="A338" s="42" t="s">
        <v>110</v>
      </c>
      <c r="B338" s="6">
        <v>31</v>
      </c>
      <c r="C338" s="6">
        <f>[1]Feuil5!E24</f>
        <v>61</v>
      </c>
      <c r="D338" s="1"/>
      <c r="E338" s="1"/>
      <c r="F338" s="1"/>
      <c r="G338" s="1"/>
      <c r="H338" s="1"/>
      <c r="I338" s="1"/>
      <c r="J338" s="1"/>
      <c r="K338" s="1"/>
      <c r="L338" s="1"/>
      <c r="M338" s="1"/>
      <c r="N338" s="1"/>
      <c r="O338" s="1"/>
    </row>
    <row r="339" spans="1:15" customFormat="1" hidden="1" x14ac:dyDescent="0.25">
      <c r="A339" s="42" t="s">
        <v>111</v>
      </c>
      <c r="B339" s="6">
        <v>8</v>
      </c>
      <c r="C339" s="6">
        <f>[1]Feuil5!E25</f>
        <v>16</v>
      </c>
      <c r="D339" s="1"/>
      <c r="E339" s="1"/>
      <c r="F339" s="1"/>
      <c r="G339" s="1"/>
      <c r="H339" s="1"/>
      <c r="I339" s="1"/>
      <c r="J339" s="1"/>
      <c r="K339" s="1"/>
      <c r="L339" s="1"/>
      <c r="M339" s="1"/>
      <c r="N339" s="1"/>
      <c r="O339" s="1"/>
    </row>
    <row r="340" spans="1:15" customFormat="1" hidden="1" x14ac:dyDescent="0.25">
      <c r="A340" s="42" t="s">
        <v>112</v>
      </c>
      <c r="B340" s="6">
        <v>2.08</v>
      </c>
      <c r="C340" s="6">
        <f>[1]Feuil5!E26</f>
        <v>4.17</v>
      </c>
      <c r="D340" s="1"/>
      <c r="E340" s="1"/>
      <c r="F340" s="1"/>
      <c r="G340" s="1"/>
      <c r="H340" s="1"/>
      <c r="I340" s="1"/>
      <c r="J340" s="1"/>
      <c r="K340" s="1"/>
      <c r="L340" s="1"/>
      <c r="M340" s="1"/>
      <c r="N340" s="1"/>
      <c r="O340" s="1"/>
    </row>
    <row r="341" spans="1:15" customFormat="1" hidden="1" x14ac:dyDescent="0.25">
      <c r="A341" s="42" t="s">
        <v>7</v>
      </c>
      <c r="B341" s="6">
        <v>1</v>
      </c>
      <c r="C341" s="6">
        <f>[1]Feuil5!E27</f>
        <v>2</v>
      </c>
      <c r="D341" s="1"/>
      <c r="E341" s="1"/>
      <c r="F341" s="1"/>
      <c r="G341" s="1"/>
      <c r="H341" s="1"/>
      <c r="I341" s="1"/>
      <c r="J341" s="1"/>
      <c r="K341" s="1"/>
      <c r="L341" s="1"/>
      <c r="M341" s="1"/>
      <c r="N341" s="1"/>
      <c r="O341" s="1"/>
    </row>
    <row r="342" spans="1:15" hidden="1" x14ac:dyDescent="0.25">
      <c r="B342" s="6">
        <f>B338-B339-B340-B341</f>
        <v>19.920000000000002</v>
      </c>
      <c r="C342" s="6">
        <f>C338-C339-C340-C341</f>
        <v>38.83</v>
      </c>
    </row>
    <row r="343" spans="1:15" hidden="1" x14ac:dyDescent="0.25">
      <c r="B343" s="6">
        <v>20</v>
      </c>
      <c r="C343" s="6">
        <v>39</v>
      </c>
    </row>
    <row r="344" spans="1:15" hidden="1" x14ac:dyDescent="0.25">
      <c r="B344" s="6">
        <f>25-B340</f>
        <v>22.92</v>
      </c>
      <c r="C344" s="6">
        <f>25-C340</f>
        <v>20.83</v>
      </c>
    </row>
    <row r="345" spans="1:15" hidden="1" x14ac:dyDescent="0.25">
      <c r="B345" s="6">
        <f>(216+B344)*1/12</f>
        <v>19.91</v>
      </c>
      <c r="C345" s="6">
        <f>(216+C344)*2/12</f>
        <v>39.471666666666664</v>
      </c>
    </row>
    <row r="346" spans="1:15" hidden="1" x14ac:dyDescent="0.25">
      <c r="B346" s="6">
        <v>20</v>
      </c>
      <c r="C346" s="6">
        <v>39.5</v>
      </c>
    </row>
    <row r="347" spans="1:15" hidden="1" x14ac:dyDescent="0.25">
      <c r="B347" s="6">
        <f>B343-B346</f>
        <v>0</v>
      </c>
      <c r="C347" s="6">
        <f>C343-C346</f>
        <v>-0.5</v>
      </c>
    </row>
    <row r="348" spans="1:15" hidden="1" x14ac:dyDescent="0.25"/>
    <row r="349" spans="1:15" hidden="1" x14ac:dyDescent="0.25">
      <c r="B349" s="58" t="s">
        <v>98</v>
      </c>
      <c r="C349" s="58" t="s">
        <v>99</v>
      </c>
      <c r="D349" s="58" t="s">
        <v>100</v>
      </c>
      <c r="E349" s="58" t="s">
        <v>101</v>
      </c>
      <c r="F349" s="58" t="s">
        <v>102</v>
      </c>
      <c r="G349" s="58" t="s">
        <v>103</v>
      </c>
      <c r="H349" s="58" t="s">
        <v>104</v>
      </c>
      <c r="I349" s="58" t="s">
        <v>105</v>
      </c>
    </row>
    <row r="350" spans="1:15" hidden="1" x14ac:dyDescent="0.25">
      <c r="B350" s="6">
        <v>92</v>
      </c>
      <c r="C350" s="6">
        <v>122</v>
      </c>
      <c r="D350" s="6">
        <v>153</v>
      </c>
      <c r="E350" s="6">
        <v>184</v>
      </c>
      <c r="F350" s="6">
        <v>214</v>
      </c>
      <c r="G350" s="6">
        <v>245</v>
      </c>
      <c r="H350" s="6">
        <v>275</v>
      </c>
      <c r="I350" s="6">
        <v>306</v>
      </c>
    </row>
    <row r="351" spans="1:15" hidden="1" x14ac:dyDescent="0.25">
      <c r="B351" s="6">
        <v>26</v>
      </c>
      <c r="C351" s="6">
        <v>34</v>
      </c>
      <c r="D351" s="6">
        <v>44</v>
      </c>
      <c r="E351" s="6">
        <v>52</v>
      </c>
      <c r="F351" s="6">
        <v>62</v>
      </c>
      <c r="G351" s="6">
        <v>70</v>
      </c>
      <c r="H351" s="6">
        <v>78</v>
      </c>
      <c r="I351" s="6">
        <v>87</v>
      </c>
    </row>
    <row r="352" spans="1:15" hidden="1" x14ac:dyDescent="0.25">
      <c r="B352" s="6">
        <v>6.25</v>
      </c>
      <c r="C352" s="6">
        <v>8.33</v>
      </c>
      <c r="D352" s="6">
        <v>10.42</v>
      </c>
      <c r="E352" s="6">
        <v>12.5</v>
      </c>
      <c r="F352" s="6">
        <v>14.58</v>
      </c>
      <c r="G352" s="6">
        <v>16.670000000000002</v>
      </c>
      <c r="H352" s="6">
        <v>18.75</v>
      </c>
      <c r="I352" s="6">
        <v>20.83</v>
      </c>
    </row>
    <row r="353" spans="2:9" hidden="1" x14ac:dyDescent="0.25">
      <c r="B353" s="6">
        <v>2</v>
      </c>
      <c r="C353" s="6">
        <v>2</v>
      </c>
      <c r="D353" s="6">
        <v>2</v>
      </c>
      <c r="E353" s="6">
        <v>3</v>
      </c>
      <c r="F353" s="6">
        <v>3</v>
      </c>
      <c r="G353" s="6">
        <v>6</v>
      </c>
      <c r="H353" s="6">
        <v>7</v>
      </c>
      <c r="I353" s="6">
        <v>7</v>
      </c>
    </row>
    <row r="354" spans="2:9" hidden="1" x14ac:dyDescent="0.25">
      <c r="B354" s="6">
        <f t="shared" ref="B354:I354" si="3">B350-B351-B352-B353</f>
        <v>57.75</v>
      </c>
      <c r="C354" s="6">
        <f t="shared" si="3"/>
        <v>77.67</v>
      </c>
      <c r="D354" s="6">
        <f t="shared" si="3"/>
        <v>96.58</v>
      </c>
      <c r="E354" s="6">
        <f t="shared" si="3"/>
        <v>116.5</v>
      </c>
      <c r="F354" s="6">
        <f t="shared" si="3"/>
        <v>134.41999999999999</v>
      </c>
      <c r="G354" s="6">
        <f t="shared" si="3"/>
        <v>152.32999999999998</v>
      </c>
      <c r="H354" s="6">
        <f t="shared" si="3"/>
        <v>171.25</v>
      </c>
      <c r="I354" s="6">
        <f t="shared" si="3"/>
        <v>191.17000000000002</v>
      </c>
    </row>
    <row r="355" spans="2:9" hidden="1" x14ac:dyDescent="0.25">
      <c r="B355" s="6">
        <v>58</v>
      </c>
      <c r="C355" s="6">
        <v>77.5</v>
      </c>
      <c r="D355" s="6">
        <v>96.5</v>
      </c>
      <c r="E355" s="6">
        <v>116.5</v>
      </c>
      <c r="F355" s="6">
        <v>134.5</v>
      </c>
      <c r="G355" s="6">
        <v>152</v>
      </c>
      <c r="H355" s="6">
        <v>171</v>
      </c>
      <c r="I355" s="6">
        <v>191</v>
      </c>
    </row>
    <row r="356" spans="2:9" hidden="1" x14ac:dyDescent="0.25">
      <c r="B356" s="6">
        <f t="shared" ref="B356:I356" si="4">25-B352</f>
        <v>18.75</v>
      </c>
      <c r="C356" s="6">
        <f t="shared" si="4"/>
        <v>16.670000000000002</v>
      </c>
      <c r="D356" s="6">
        <f t="shared" si="4"/>
        <v>14.58</v>
      </c>
      <c r="E356" s="6">
        <f t="shared" si="4"/>
        <v>12.5</v>
      </c>
      <c r="F356" s="6">
        <f t="shared" si="4"/>
        <v>10.42</v>
      </c>
      <c r="G356" s="6">
        <f t="shared" si="4"/>
        <v>8.3299999999999983</v>
      </c>
      <c r="H356" s="6">
        <f t="shared" si="4"/>
        <v>6.25</v>
      </c>
      <c r="I356" s="6">
        <f t="shared" si="4"/>
        <v>4.1700000000000017</v>
      </c>
    </row>
    <row r="357" spans="2:9" hidden="1" x14ac:dyDescent="0.25">
      <c r="B357" s="6">
        <f>(216+B356)*3/12</f>
        <v>58.6875</v>
      </c>
      <c r="C357" s="6">
        <f>(216+C356)*4/12</f>
        <v>77.556666666666672</v>
      </c>
      <c r="D357" s="6">
        <f>(216+D356)*5/12</f>
        <v>96.075000000000003</v>
      </c>
      <c r="E357" s="6">
        <f>(216+E356)*6/12</f>
        <v>114.25</v>
      </c>
      <c r="F357" s="6">
        <f>(216+F356)*7/12</f>
        <v>132.07833333333332</v>
      </c>
      <c r="G357" s="6">
        <f>(216+G356)*8/12</f>
        <v>149.55333333333331</v>
      </c>
      <c r="H357" s="6">
        <f>(216+H356)*9/12</f>
        <v>166.6875</v>
      </c>
      <c r="I357" s="6">
        <f>(216+I356)*10/12</f>
        <v>183.47500000000002</v>
      </c>
    </row>
    <row r="358" spans="2:9" hidden="1" x14ac:dyDescent="0.25">
      <c r="B358" s="6">
        <v>58.5</v>
      </c>
      <c r="C358" s="6">
        <v>77.5</v>
      </c>
      <c r="D358" s="6">
        <v>96</v>
      </c>
      <c r="E358" s="6">
        <v>114</v>
      </c>
      <c r="F358" s="6">
        <v>132</v>
      </c>
      <c r="G358" s="6">
        <v>149.5</v>
      </c>
      <c r="H358" s="6">
        <v>166.5</v>
      </c>
      <c r="I358" s="6">
        <v>183.5</v>
      </c>
    </row>
    <row r="359" spans="2:9" hidden="1" x14ac:dyDescent="0.25">
      <c r="B359" s="6">
        <f t="shared" ref="B359:I359" si="5">B355-B358</f>
        <v>-0.5</v>
      </c>
      <c r="C359" s="6">
        <f t="shared" si="5"/>
        <v>0</v>
      </c>
      <c r="D359" s="6">
        <f t="shared" si="5"/>
        <v>0.5</v>
      </c>
      <c r="E359" s="6">
        <f t="shared" si="5"/>
        <v>2.5</v>
      </c>
      <c r="F359" s="6">
        <f t="shared" si="5"/>
        <v>2.5</v>
      </c>
      <c r="G359" s="6">
        <f t="shared" si="5"/>
        <v>2.5</v>
      </c>
      <c r="H359" s="6">
        <f t="shared" si="5"/>
        <v>4.5</v>
      </c>
      <c r="I359" s="6">
        <f t="shared" si="5"/>
        <v>7.5</v>
      </c>
    </row>
    <row r="360" spans="2:9" hidden="1" x14ac:dyDescent="0.25"/>
    <row r="361" spans="2:9" hidden="1" x14ac:dyDescent="0.25"/>
    <row r="362" spans="2:9" hidden="1" x14ac:dyDescent="0.25">
      <c r="H362" s="58" t="s">
        <v>106</v>
      </c>
      <c r="I362" s="58" t="s">
        <v>107</v>
      </c>
    </row>
    <row r="363" spans="2:9" hidden="1" x14ac:dyDescent="0.25">
      <c r="H363" s="6">
        <v>335</v>
      </c>
      <c r="I363" s="6">
        <v>366</v>
      </c>
    </row>
    <row r="364" spans="2:9" hidden="1" x14ac:dyDescent="0.25">
      <c r="H364" s="6">
        <v>96</v>
      </c>
      <c r="I364" s="6">
        <v>104</v>
      </c>
    </row>
    <row r="365" spans="2:9" hidden="1" x14ac:dyDescent="0.25">
      <c r="H365" s="6">
        <v>22.92</v>
      </c>
      <c r="I365" s="6">
        <v>25</v>
      </c>
    </row>
    <row r="366" spans="2:9" hidden="1" x14ac:dyDescent="0.25">
      <c r="H366" s="6">
        <v>7</v>
      </c>
      <c r="I366" s="6">
        <v>8</v>
      </c>
    </row>
    <row r="367" spans="2:9" hidden="1" x14ac:dyDescent="0.25">
      <c r="H367" s="6">
        <f>H363-H364-H365-H366</f>
        <v>209.07999999999998</v>
      </c>
      <c r="I367" s="6">
        <f>I363-I364-I365-I366</f>
        <v>229</v>
      </c>
    </row>
    <row r="368" spans="2:9" hidden="1" x14ac:dyDescent="0.25">
      <c r="H368" s="6">
        <v>209</v>
      </c>
      <c r="I368" s="6">
        <v>229</v>
      </c>
    </row>
    <row r="369" spans="8:9" hidden="1" x14ac:dyDescent="0.25">
      <c r="H369" s="6">
        <f>25-H365</f>
        <v>2.0799999999999983</v>
      </c>
      <c r="I369" s="6">
        <f>25-I365</f>
        <v>0</v>
      </c>
    </row>
    <row r="370" spans="8:9" hidden="1" x14ac:dyDescent="0.25">
      <c r="H370" s="6">
        <f>(216+H369)*11/12</f>
        <v>199.90666666666664</v>
      </c>
      <c r="I370" s="6">
        <f>(216+I369)*12/12</f>
        <v>216</v>
      </c>
    </row>
    <row r="371" spans="8:9" hidden="1" x14ac:dyDescent="0.25">
      <c r="H371" s="6">
        <v>200</v>
      </c>
      <c r="I371" s="6">
        <v>216</v>
      </c>
    </row>
    <row r="372" spans="8:9" hidden="1" x14ac:dyDescent="0.25">
      <c r="H372" s="6">
        <f>H368-H371</f>
        <v>9</v>
      </c>
      <c r="I372" s="6">
        <f>I368-I371</f>
        <v>13</v>
      </c>
    </row>
  </sheetData>
  <mergeCells count="66">
    <mergeCell ref="B67:H67"/>
    <mergeCell ref="J216:K216"/>
    <mergeCell ref="C237:E237"/>
    <mergeCell ref="C8:H8"/>
    <mergeCell ref="J53:K53"/>
    <mergeCell ref="E53:F53"/>
    <mergeCell ref="B64:D64"/>
    <mergeCell ref="B58:D58"/>
    <mergeCell ref="B59:D59"/>
    <mergeCell ref="B60:D60"/>
    <mergeCell ref="B61:D61"/>
    <mergeCell ref="B62:D62"/>
    <mergeCell ref="B63:D63"/>
    <mergeCell ref="C170:E170"/>
    <mergeCell ref="B1:J1"/>
    <mergeCell ref="B54:D54"/>
    <mergeCell ref="B55:D55"/>
    <mergeCell ref="B56:D56"/>
    <mergeCell ref="B57:D57"/>
    <mergeCell ref="C7:H7"/>
    <mergeCell ref="G53:I53"/>
    <mergeCell ref="H54:I54"/>
    <mergeCell ref="B29:D29"/>
    <mergeCell ref="B28:D28"/>
    <mergeCell ref="B32:D32"/>
    <mergeCell ref="B33:D33"/>
    <mergeCell ref="H60:I60"/>
    <mergeCell ref="H61:I61"/>
    <mergeCell ref="H62:I62"/>
    <mergeCell ref="H63:I63"/>
    <mergeCell ref="H64:I64"/>
    <mergeCell ref="C168:E168"/>
    <mergeCell ref="H55:I55"/>
    <mergeCell ref="H56:I56"/>
    <mergeCell ref="H57:I57"/>
    <mergeCell ref="C169:E169"/>
    <mergeCell ref="H58:I58"/>
    <mergeCell ref="H59:I59"/>
    <mergeCell ref="C89:E89"/>
    <mergeCell ref="C90:E90"/>
    <mergeCell ref="C92:F92"/>
    <mergeCell ref="C151:E151"/>
    <mergeCell ref="D148:E148"/>
    <mergeCell ref="D149:E149"/>
    <mergeCell ref="D150:E150"/>
    <mergeCell ref="C247:D247"/>
    <mergeCell ref="C240:D240"/>
    <mergeCell ref="C239:D239"/>
    <mergeCell ref="C238:D238"/>
    <mergeCell ref="C241:D241"/>
    <mergeCell ref="C242:D242"/>
    <mergeCell ref="C243:D243"/>
    <mergeCell ref="C244:D244"/>
    <mergeCell ref="C245:D245"/>
    <mergeCell ref="C246:D246"/>
    <mergeCell ref="C173:E173"/>
    <mergeCell ref="C213:F213"/>
    <mergeCell ref="D209:F209"/>
    <mergeCell ref="D210:F210"/>
    <mergeCell ref="D211:F211"/>
    <mergeCell ref="D212:F212"/>
    <mergeCell ref="C171:E171"/>
    <mergeCell ref="C172:E172"/>
    <mergeCell ref="C158:E158"/>
    <mergeCell ref="C159:E159"/>
    <mergeCell ref="C160:E160"/>
  </mergeCells>
  <phoneticPr fontId="16" type="noConversion"/>
  <printOptions horizontalCentered="1" verticalCentered="1"/>
  <pageMargins left="0.11811023622047245" right="0.11811023622047245" top="0.15748031496062992" bottom="0.15748031496062992" header="0.31496062992125984" footer="0.31496062992125984"/>
  <pageSetup paperSize="9" scale="80" orientation="landscape" horizontalDpi="4294967293"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075EC-A5E4-40AB-99CE-5F63DEB46D68}">
  <dimension ref="A1:K61"/>
  <sheetViews>
    <sheetView topLeftCell="A12" zoomScaleNormal="100" workbookViewId="0">
      <selection activeCell="A12" sqref="A1:XFD1048576"/>
    </sheetView>
  </sheetViews>
  <sheetFormatPr baseColWidth="10" defaultRowHeight="15" x14ac:dyDescent="0.25"/>
  <cols>
    <col min="1" max="1" width="4.7109375" style="27" customWidth="1"/>
    <col min="2" max="2" width="13.28515625" customWidth="1"/>
    <col min="3" max="4" width="14.85546875" customWidth="1"/>
    <col min="5" max="5" width="14.7109375" customWidth="1"/>
    <col min="6" max="6" width="14.85546875" customWidth="1"/>
    <col min="7" max="7" width="16.28515625" customWidth="1"/>
  </cols>
  <sheetData>
    <row r="1" spans="1:11" ht="26.45" customHeight="1" x14ac:dyDescent="0.25">
      <c r="B1" s="172" t="s">
        <v>249</v>
      </c>
      <c r="C1" s="172"/>
      <c r="D1" s="172"/>
      <c r="E1" s="172"/>
      <c r="F1" s="172"/>
      <c r="G1" s="172"/>
    </row>
    <row r="2" spans="1:11" ht="26.45" customHeight="1" x14ac:dyDescent="0.25">
      <c r="B2" s="173"/>
      <c r="C2" s="173"/>
      <c r="D2" s="173"/>
      <c r="E2" s="173"/>
      <c r="F2" s="173"/>
      <c r="G2" s="173"/>
    </row>
    <row r="3" spans="1:11" ht="23.25" customHeight="1" x14ac:dyDescent="0.25">
      <c r="B3" s="166" t="s">
        <v>250</v>
      </c>
      <c r="C3" s="166"/>
      <c r="D3" s="174" t="s">
        <v>251</v>
      </c>
      <c r="E3" s="174"/>
      <c r="F3" s="174"/>
      <c r="G3" s="174"/>
    </row>
    <row r="4" spans="1:11" ht="26.45" customHeight="1" x14ac:dyDescent="0.25">
      <c r="B4" s="175" t="s">
        <v>252</v>
      </c>
      <c r="C4" s="176"/>
      <c r="D4" s="27"/>
      <c r="F4" s="27"/>
      <c r="G4" s="27"/>
    </row>
    <row r="5" spans="1:11" ht="38.25" x14ac:dyDescent="0.25">
      <c r="A5" s="26">
        <v>1</v>
      </c>
      <c r="B5" s="62" t="s">
        <v>253</v>
      </c>
      <c r="C5" s="63"/>
      <c r="E5" s="166">
        <f>ROUND(1.4*11.88*151.67*3*50%/91.25,2)</f>
        <v>41.47</v>
      </c>
      <c r="F5" s="166" t="s">
        <v>254</v>
      </c>
      <c r="G5" s="166"/>
      <c r="I5" s="27"/>
      <c r="J5" s="27"/>
      <c r="K5" s="27"/>
    </row>
    <row r="6" spans="1:11" ht="41.25" customHeight="1" x14ac:dyDescent="0.25">
      <c r="A6" s="26">
        <v>2</v>
      </c>
      <c r="B6" s="64" t="s">
        <v>63</v>
      </c>
      <c r="C6" s="63">
        <v>46135</v>
      </c>
      <c r="D6" s="28"/>
      <c r="E6" s="166"/>
      <c r="F6" s="166"/>
      <c r="G6" s="166"/>
    </row>
    <row r="7" spans="1:11" ht="41.25" customHeight="1" x14ac:dyDescent="0.25">
      <c r="B7" s="64" t="s">
        <v>64</v>
      </c>
      <c r="C7" s="63">
        <v>46387</v>
      </c>
      <c r="D7" s="28"/>
      <c r="E7" s="65">
        <f>1.8*11.88*3*151.67*50%/91.25</f>
        <v>53.314705972602738</v>
      </c>
      <c r="F7" s="165" t="s">
        <v>255</v>
      </c>
      <c r="G7" s="165"/>
    </row>
    <row r="8" spans="1:11" ht="41.25" customHeight="1" x14ac:dyDescent="0.25">
      <c r="B8" s="26" t="s">
        <v>114</v>
      </c>
      <c r="C8" s="63">
        <v>46113</v>
      </c>
      <c r="D8" s="28"/>
      <c r="E8" s="28"/>
      <c r="F8" s="28"/>
      <c r="G8" s="27"/>
    </row>
    <row r="9" spans="1:11" ht="41.25" customHeight="1" x14ac:dyDescent="0.25">
      <c r="B9" s="26" t="s">
        <v>115</v>
      </c>
      <c r="C9" s="63">
        <v>46387</v>
      </c>
      <c r="D9" s="28"/>
      <c r="E9" s="28"/>
      <c r="F9" s="28"/>
      <c r="G9" s="27"/>
    </row>
    <row r="10" spans="1:11" ht="41.25" customHeight="1" x14ac:dyDescent="0.25">
      <c r="B10" s="26" t="s">
        <v>256</v>
      </c>
      <c r="C10" s="66"/>
      <c r="D10" s="28"/>
      <c r="E10" s="28"/>
      <c r="F10" s="28"/>
      <c r="G10" s="27"/>
    </row>
    <row r="11" spans="1:11" ht="39.75" customHeight="1" x14ac:dyDescent="0.25">
      <c r="B11" s="64" t="s">
        <v>65</v>
      </c>
      <c r="C11" s="26">
        <f>C7-C6+1</f>
        <v>253</v>
      </c>
      <c r="D11" s="27"/>
      <c r="E11" s="27"/>
      <c r="F11" s="27"/>
      <c r="G11" s="27"/>
    </row>
    <row r="12" spans="1:11" ht="39.75" customHeight="1" x14ac:dyDescent="0.25">
      <c r="B12" s="64" t="s">
        <v>257</v>
      </c>
      <c r="C12" s="26">
        <v>3</v>
      </c>
      <c r="D12" s="27"/>
      <c r="E12" s="27"/>
      <c r="F12" s="27"/>
      <c r="G12" s="27"/>
    </row>
    <row r="13" spans="1:11" ht="39.75" customHeight="1" x14ac:dyDescent="0.25">
      <c r="B13" s="64" t="s">
        <v>258</v>
      </c>
      <c r="C13" s="26">
        <f>C11-C12</f>
        <v>250</v>
      </c>
      <c r="D13" s="160"/>
      <c r="E13" s="161"/>
      <c r="F13" s="161"/>
      <c r="G13" s="27"/>
    </row>
    <row r="14" spans="1:11" ht="39.75" customHeight="1" x14ac:dyDescent="0.25">
      <c r="B14" s="64" t="s">
        <v>66</v>
      </c>
      <c r="C14" s="26">
        <f ca="1">SUMPRODUCT((WEEKDAY(ROW(INDIRECT(C$6&amp;":"&amp;C$7)))=7)*1)</f>
        <v>36</v>
      </c>
      <c r="D14" s="27"/>
      <c r="E14" s="27"/>
      <c r="F14" s="27"/>
      <c r="G14" s="27"/>
    </row>
    <row r="15" spans="1:11" ht="39.75" customHeight="1" x14ac:dyDescent="0.25">
      <c r="B15" s="64" t="s">
        <v>67</v>
      </c>
      <c r="C15" s="26">
        <f ca="1">C11-C14</f>
        <v>217</v>
      </c>
      <c r="D15" s="27"/>
      <c r="E15" s="27"/>
      <c r="F15" s="27"/>
      <c r="G15" s="27"/>
    </row>
    <row r="16" spans="1:11" ht="39.75" customHeight="1" x14ac:dyDescent="0.25">
      <c r="B16" s="64" t="s">
        <v>68</v>
      </c>
      <c r="C16" s="70">
        <f>NETWORKDAYS(C6,C7)</f>
        <v>181</v>
      </c>
      <c r="D16" s="27"/>
      <c r="E16" s="27"/>
      <c r="F16" s="27"/>
      <c r="G16" s="27"/>
    </row>
    <row r="17" spans="1:10" ht="39.75" customHeight="1" x14ac:dyDescent="0.25">
      <c r="B17" s="67"/>
      <c r="C17" s="26">
        <f>C11-C16</f>
        <v>72</v>
      </c>
      <c r="D17" s="166" t="s">
        <v>5</v>
      </c>
      <c r="E17" s="166"/>
      <c r="F17" s="27"/>
      <c r="G17" s="27"/>
    </row>
    <row r="18" spans="1:10" ht="39.75" customHeight="1" x14ac:dyDescent="0.25">
      <c r="B18" s="67"/>
      <c r="C18" s="27"/>
      <c r="D18" s="27"/>
      <c r="E18" s="27"/>
      <c r="F18" s="27"/>
      <c r="G18" s="27"/>
    </row>
    <row r="19" spans="1:10" ht="39.75" customHeight="1" x14ac:dyDescent="0.25">
      <c r="B19" s="67"/>
      <c r="C19" s="27"/>
      <c r="D19" s="27"/>
      <c r="E19" s="27"/>
      <c r="F19" s="27"/>
      <c r="G19" s="27"/>
    </row>
    <row r="20" spans="1:10" ht="23.25" customHeight="1" x14ac:dyDescent="0.25">
      <c r="B20" s="27"/>
      <c r="C20" s="27"/>
      <c r="D20" s="68"/>
      <c r="E20" s="68"/>
      <c r="F20" s="68"/>
      <c r="G20" s="68"/>
    </row>
    <row r="21" spans="1:10" ht="23.25" customHeight="1" x14ac:dyDescent="0.25">
      <c r="B21" s="26" t="s">
        <v>259</v>
      </c>
      <c r="C21" s="69">
        <v>11.88</v>
      </c>
      <c r="D21" s="166" t="s">
        <v>260</v>
      </c>
      <c r="E21" s="166"/>
      <c r="F21" s="27"/>
      <c r="G21" s="27"/>
    </row>
    <row r="22" spans="1:10" ht="23.25" customHeight="1" x14ac:dyDescent="0.25">
      <c r="B22" s="70" t="s">
        <v>261</v>
      </c>
      <c r="C22" s="71">
        <v>11.88</v>
      </c>
      <c r="D22" s="167" t="s">
        <v>262</v>
      </c>
      <c r="E22" s="168"/>
      <c r="F22" s="72"/>
      <c r="G22" s="72"/>
    </row>
    <row r="23" spans="1:10" x14ac:dyDescent="0.25">
      <c r="B23" s="26" t="s">
        <v>263</v>
      </c>
      <c r="C23" s="73" t="s">
        <v>264</v>
      </c>
      <c r="D23" s="73" t="s">
        <v>265</v>
      </c>
      <c r="E23" s="73" t="s">
        <v>266</v>
      </c>
      <c r="F23" s="73" t="s">
        <v>267</v>
      </c>
      <c r="G23" s="73" t="s">
        <v>268</v>
      </c>
      <c r="J23" s="74"/>
    </row>
    <row r="24" spans="1:10" ht="38.25" customHeight="1" x14ac:dyDescent="0.25">
      <c r="B24" s="169" t="s">
        <v>269</v>
      </c>
      <c r="C24" s="169"/>
      <c r="D24" s="169"/>
      <c r="E24" s="169"/>
      <c r="F24" s="169"/>
      <c r="G24" s="169"/>
      <c r="J24" s="74"/>
    </row>
    <row r="25" spans="1:10" ht="31.15" customHeight="1" x14ac:dyDescent="0.25">
      <c r="A25" s="26">
        <v>10</v>
      </c>
      <c r="B25" s="75" t="s">
        <v>270</v>
      </c>
      <c r="C25" s="76" t="s">
        <v>271</v>
      </c>
      <c r="D25" s="76" t="s">
        <v>272</v>
      </c>
      <c r="E25" s="76" t="s">
        <v>273</v>
      </c>
      <c r="F25" s="76" t="s">
        <v>274</v>
      </c>
      <c r="G25" s="76" t="s">
        <v>275</v>
      </c>
    </row>
    <row r="26" spans="1:10" ht="48.6" customHeight="1" x14ac:dyDescent="0.25">
      <c r="A26" s="26">
        <v>11</v>
      </c>
      <c r="B26" s="77" t="s">
        <v>276</v>
      </c>
      <c r="C26" s="170" t="s">
        <v>277</v>
      </c>
      <c r="D26" s="171"/>
      <c r="E26" s="78" t="s">
        <v>278</v>
      </c>
      <c r="F26" s="79" t="s">
        <v>279</v>
      </c>
      <c r="G26" s="78" t="s">
        <v>280</v>
      </c>
    </row>
    <row r="27" spans="1:10" ht="38.25" customHeight="1" x14ac:dyDescent="0.25">
      <c r="A27" s="26">
        <v>12</v>
      </c>
      <c r="B27" s="80" t="s">
        <v>281</v>
      </c>
      <c r="C27" s="81" t="s">
        <v>282</v>
      </c>
      <c r="D27" s="82" t="s">
        <v>283</v>
      </c>
      <c r="E27" s="83">
        <v>2800</v>
      </c>
      <c r="F27" s="84">
        <f>IF(C7&lt;C5,(IF(B27="202N",1.8*C21*151.67,1.8*C22*151.67)),(IF(B27="202N",1.4*C21*151.67,1.4*C21*151.67)))</f>
        <v>2522.5754400000001</v>
      </c>
      <c r="G27" s="85">
        <f>MIN(F27,E27)</f>
        <v>2522.5754400000001</v>
      </c>
    </row>
    <row r="28" spans="1:10" ht="38.25" customHeight="1" x14ac:dyDescent="0.25">
      <c r="A28" s="26">
        <v>13</v>
      </c>
      <c r="B28" s="80" t="s">
        <v>284</v>
      </c>
      <c r="C28" s="81" t="s">
        <v>285</v>
      </c>
      <c r="D28" s="82" t="s">
        <v>286</v>
      </c>
      <c r="E28" s="83">
        <v>2500</v>
      </c>
      <c r="F28" s="86">
        <f>F27</f>
        <v>2522.5754400000001</v>
      </c>
      <c r="G28" s="85">
        <f>MIN(F28,E28)</f>
        <v>2500</v>
      </c>
    </row>
    <row r="29" spans="1:10" ht="38.25" customHeight="1" x14ac:dyDescent="0.25">
      <c r="A29" s="26">
        <v>14</v>
      </c>
      <c r="B29" s="80" t="s">
        <v>284</v>
      </c>
      <c r="C29" s="81" t="s">
        <v>287</v>
      </c>
      <c r="D29" s="82" t="s">
        <v>288</v>
      </c>
      <c r="E29" s="83">
        <v>3300</v>
      </c>
      <c r="F29" s="86">
        <f>F28</f>
        <v>2522.5754400000001</v>
      </c>
      <c r="G29" s="85">
        <f>MIN(F29,E29)</f>
        <v>2522.5754400000001</v>
      </c>
    </row>
    <row r="30" spans="1:10" ht="38.25" customHeight="1" x14ac:dyDescent="0.25">
      <c r="B30" s="87"/>
      <c r="C30" s="87"/>
      <c r="D30" s="88"/>
      <c r="E30" s="88"/>
      <c r="F30" s="89" t="s">
        <v>289</v>
      </c>
      <c r="G30" s="83">
        <f>SUM(G27:G29)</f>
        <v>7545.1508800000011</v>
      </c>
    </row>
    <row r="31" spans="1:10" ht="38.25" customHeight="1" x14ac:dyDescent="0.25">
      <c r="B31" s="87"/>
      <c r="C31" s="87"/>
      <c r="D31" s="72"/>
      <c r="E31" s="72"/>
      <c r="F31" s="81" t="s">
        <v>290</v>
      </c>
      <c r="G31" s="83">
        <f>ROUND(G30*0.5/91.25,6)</f>
        <v>41.343291999999998</v>
      </c>
    </row>
    <row r="32" spans="1:10" ht="38.25" customHeight="1" x14ac:dyDescent="0.25">
      <c r="B32" s="87"/>
      <c r="C32" s="87"/>
      <c r="D32" s="72"/>
      <c r="E32" s="72"/>
      <c r="F32" s="90" t="s">
        <v>291</v>
      </c>
      <c r="G32" s="91">
        <f>C13</f>
        <v>250</v>
      </c>
    </row>
    <row r="33" spans="2:9" ht="38.25" customHeight="1" x14ac:dyDescent="0.25">
      <c r="B33" s="87"/>
      <c r="C33" s="87"/>
      <c r="D33" s="72"/>
      <c r="E33" s="72"/>
      <c r="F33" s="81" t="s">
        <v>292</v>
      </c>
      <c r="G33" s="83">
        <f>ROUND(G31*G32,2)</f>
        <v>10335.82</v>
      </c>
    </row>
    <row r="34" spans="2:9" ht="38.25" customHeight="1" x14ac:dyDescent="0.25">
      <c r="B34" s="87"/>
      <c r="C34" s="87"/>
      <c r="D34" s="72"/>
      <c r="E34" s="72"/>
      <c r="F34" s="81" t="s">
        <v>293</v>
      </c>
      <c r="G34" s="83">
        <f>ROUND(G33*0.933,2)</f>
        <v>9643.32</v>
      </c>
    </row>
    <row r="35" spans="2:9" ht="38.25" customHeight="1" x14ac:dyDescent="0.25">
      <c r="B35" s="87"/>
      <c r="C35" s="87"/>
      <c r="D35" s="72"/>
      <c r="E35" s="72"/>
      <c r="F35" s="92" t="s">
        <v>294</v>
      </c>
      <c r="G35" s="83">
        <f>G33*2.9%</f>
        <v>299.73877999999996</v>
      </c>
      <c r="H35" s="160" t="s">
        <v>295</v>
      </c>
      <c r="I35" s="161"/>
    </row>
    <row r="36" spans="2:9" ht="38.25" customHeight="1" x14ac:dyDescent="0.25">
      <c r="F36" s="92" t="s">
        <v>296</v>
      </c>
      <c r="G36" s="83">
        <f>G33*3.8%</f>
        <v>392.76115999999996</v>
      </c>
      <c r="H36" s="160"/>
      <c r="I36" s="161"/>
    </row>
    <row r="37" spans="2:9" ht="105" customHeight="1" x14ac:dyDescent="0.25"/>
    <row r="38" spans="2:9" ht="33.75" customHeight="1" x14ac:dyDescent="0.25">
      <c r="B38" s="162" t="s">
        <v>113</v>
      </c>
      <c r="C38" s="163"/>
      <c r="D38" s="163"/>
      <c r="E38" s="163"/>
      <c r="F38" s="163"/>
      <c r="G38" s="164"/>
    </row>
    <row r="39" spans="2:9" ht="33" customHeight="1" x14ac:dyDescent="0.25">
      <c r="B39" s="93" t="s">
        <v>63</v>
      </c>
      <c r="C39" s="94">
        <f>C6</f>
        <v>46135</v>
      </c>
      <c r="D39" s="29"/>
      <c r="E39" s="29"/>
      <c r="F39" s="29"/>
      <c r="G39" s="6"/>
    </row>
    <row r="40" spans="2:9" ht="33" customHeight="1" x14ac:dyDescent="0.25">
      <c r="B40" s="95" t="s">
        <v>64</v>
      </c>
      <c r="C40" s="96">
        <f>C7</f>
        <v>46387</v>
      </c>
      <c r="D40" s="29"/>
      <c r="E40" s="29"/>
      <c r="F40" s="29"/>
      <c r="G40" s="30"/>
    </row>
    <row r="41" spans="2:9" ht="33" customHeight="1" x14ac:dyDescent="0.25">
      <c r="B41" s="95" t="s">
        <v>114</v>
      </c>
      <c r="C41" s="96">
        <f>C8</f>
        <v>46113</v>
      </c>
      <c r="D41" s="28"/>
      <c r="E41" s="28"/>
      <c r="F41" s="28"/>
      <c r="G41" s="27"/>
    </row>
    <row r="42" spans="2:9" ht="33" customHeight="1" x14ac:dyDescent="0.25">
      <c r="B42" s="95" t="s">
        <v>115</v>
      </c>
      <c r="C42" s="96">
        <f>C9</f>
        <v>46387</v>
      </c>
      <c r="D42" s="28"/>
      <c r="E42" s="28"/>
      <c r="F42" s="28"/>
      <c r="G42" s="27"/>
    </row>
    <row r="43" spans="2:9" ht="33" customHeight="1" x14ac:dyDescent="0.25">
      <c r="B43" s="95" t="s">
        <v>116</v>
      </c>
      <c r="C43" s="97">
        <f>C10</f>
        <v>0</v>
      </c>
      <c r="D43" s="27"/>
      <c r="E43" s="27"/>
      <c r="F43" s="27"/>
      <c r="G43" s="27"/>
    </row>
    <row r="44" spans="2:9" ht="33.75" customHeight="1" x14ac:dyDescent="0.25">
      <c r="B44" s="98" t="s">
        <v>65</v>
      </c>
      <c r="C44" s="98">
        <f>C40-C39+1</f>
        <v>253</v>
      </c>
      <c r="D44" s="27"/>
      <c r="E44" s="27"/>
      <c r="F44" s="27"/>
      <c r="G44" s="27"/>
    </row>
    <row r="45" spans="2:9" ht="33.75" customHeight="1" x14ac:dyDescent="0.25">
      <c r="B45" s="99" t="s">
        <v>117</v>
      </c>
      <c r="C45" s="99">
        <f ca="1">SUMPRODUCT((WEEKDAY(ROW(INDIRECT(C$39&amp;":"&amp;C$40)))=7)*1)</f>
        <v>36</v>
      </c>
      <c r="D45" s="27"/>
      <c r="E45" s="27"/>
      <c r="F45" s="27"/>
      <c r="G45" s="27"/>
    </row>
    <row r="46" spans="2:9" ht="33.75" customHeight="1" x14ac:dyDescent="0.25">
      <c r="B46" s="98" t="s">
        <v>118</v>
      </c>
      <c r="C46" s="98">
        <f>NETWORKDAYS(C39,C40)</f>
        <v>181</v>
      </c>
      <c r="D46" s="27"/>
      <c r="E46" s="27"/>
      <c r="F46" s="27"/>
      <c r="G46" s="27"/>
    </row>
    <row r="47" spans="2:9" ht="57" customHeight="1" x14ac:dyDescent="0.25">
      <c r="B47" s="98" t="s">
        <v>119</v>
      </c>
      <c r="C47" s="98">
        <f ca="1">C44-C45</f>
        <v>217</v>
      </c>
      <c r="D47" s="27"/>
      <c r="E47" s="27"/>
      <c r="F47" s="27"/>
      <c r="G47" s="27"/>
    </row>
    <row r="48" spans="2:9" ht="50.45" customHeight="1" x14ac:dyDescent="0.25">
      <c r="B48" s="100" t="s">
        <v>120</v>
      </c>
      <c r="C48" s="100"/>
      <c r="D48" s="6"/>
      <c r="E48" s="6"/>
      <c r="F48" s="6"/>
      <c r="G48" s="6"/>
    </row>
    <row r="49" spans="2:7" ht="48" customHeight="1" x14ac:dyDescent="0.25">
      <c r="B49" s="100" t="s">
        <v>121</v>
      </c>
      <c r="C49" s="100"/>
      <c r="D49" s="6"/>
      <c r="E49" s="6"/>
      <c r="F49" s="6"/>
      <c r="G49" s="6"/>
    </row>
    <row r="50" spans="2:7" ht="45.6" customHeight="1" x14ac:dyDescent="0.25">
      <c r="B50" s="101" t="s">
        <v>122</v>
      </c>
      <c r="C50" s="98">
        <v>147</v>
      </c>
      <c r="D50" s="27"/>
      <c r="E50" s="27"/>
      <c r="F50" s="27"/>
      <c r="G50" s="27"/>
    </row>
    <row r="51" spans="2:7" ht="44.45" customHeight="1" x14ac:dyDescent="0.25">
      <c r="B51" s="99" t="s">
        <v>123</v>
      </c>
      <c r="C51" s="99">
        <f>NETWORKDAYS(C41,C42)</f>
        <v>197</v>
      </c>
      <c r="D51" s="27"/>
      <c r="E51" s="27"/>
      <c r="F51" s="27"/>
      <c r="G51" s="27"/>
    </row>
    <row r="52" spans="2:7" ht="38.25" customHeight="1" x14ac:dyDescent="0.25">
      <c r="B52" s="98" t="s">
        <v>124</v>
      </c>
      <c r="C52" s="98">
        <f>ROUND(C43*C46/C51,2)</f>
        <v>0</v>
      </c>
      <c r="D52" s="27"/>
      <c r="E52" s="27"/>
      <c r="F52" s="27"/>
      <c r="G52" s="27"/>
    </row>
    <row r="53" spans="2:7" ht="28.5" customHeight="1" x14ac:dyDescent="0.25">
      <c r="B53" s="98" t="s">
        <v>125</v>
      </c>
      <c r="C53" s="98">
        <f>ROUND(C43*C46/22,2)</f>
        <v>0</v>
      </c>
      <c r="D53" s="27"/>
      <c r="E53" s="27"/>
      <c r="F53" s="27"/>
      <c r="G53" s="27"/>
    </row>
    <row r="54" spans="2:7" ht="41.25" customHeight="1" x14ac:dyDescent="0.25">
      <c r="B54" s="98" t="s">
        <v>126</v>
      </c>
      <c r="C54" s="98">
        <f>ROUND(C43*C46/21.67,2)</f>
        <v>0</v>
      </c>
      <c r="D54" s="27"/>
      <c r="E54" s="27"/>
      <c r="F54" s="27"/>
      <c r="G54" s="27"/>
    </row>
    <row r="55" spans="2:7" ht="36" customHeight="1" x14ac:dyDescent="0.25">
      <c r="B55" s="99" t="s">
        <v>127</v>
      </c>
      <c r="C55" s="99">
        <f>C42-C41+1</f>
        <v>275</v>
      </c>
      <c r="D55" s="27"/>
      <c r="E55" s="27"/>
      <c r="F55" s="27"/>
      <c r="G55" s="27"/>
    </row>
    <row r="56" spans="2:7" ht="39" customHeight="1" x14ac:dyDescent="0.25">
      <c r="B56" s="98" t="s">
        <v>128</v>
      </c>
      <c r="C56" s="98">
        <f>ROUND(C43*C44/C55,2)</f>
        <v>0</v>
      </c>
      <c r="D56" s="27"/>
      <c r="E56" s="27"/>
      <c r="F56" s="27"/>
      <c r="G56" s="27"/>
    </row>
    <row r="57" spans="2:7" ht="42.6" customHeight="1" x14ac:dyDescent="0.25">
      <c r="B57" s="98" t="s">
        <v>129</v>
      </c>
      <c r="C57" s="98">
        <f>ROUND(C43*C44/30,2)</f>
        <v>0</v>
      </c>
      <c r="D57" s="27"/>
      <c r="E57" s="27"/>
      <c r="F57" s="27"/>
      <c r="G57" s="27"/>
    </row>
    <row r="58" spans="2:7" ht="36" customHeight="1" x14ac:dyDescent="0.25">
      <c r="B58" s="99" t="s">
        <v>130</v>
      </c>
      <c r="C58" s="99">
        <f ca="1">SUMPRODUCT((WEEKDAY(ROW(INDIRECT($C41&amp;":"&amp;$C42)))=7)*1)</f>
        <v>39</v>
      </c>
      <c r="D58" s="27"/>
      <c r="E58" s="27"/>
      <c r="F58" s="27"/>
      <c r="G58" s="27"/>
    </row>
    <row r="59" spans="2:7" ht="36" customHeight="1" x14ac:dyDescent="0.25">
      <c r="B59" s="99" t="s">
        <v>131</v>
      </c>
      <c r="C59" s="99">
        <f ca="1">C55-C58</f>
        <v>236</v>
      </c>
      <c r="D59" s="27"/>
      <c r="E59" s="27"/>
      <c r="F59" s="27"/>
      <c r="G59" s="27"/>
    </row>
    <row r="60" spans="2:7" ht="39.75" customHeight="1" x14ac:dyDescent="0.25">
      <c r="B60" s="98" t="s">
        <v>132</v>
      </c>
      <c r="C60" s="98">
        <f ca="1">ROUND(C43*C47/C59,2)</f>
        <v>0</v>
      </c>
      <c r="D60" s="27"/>
      <c r="E60" s="27"/>
      <c r="F60" s="27"/>
      <c r="G60" s="27"/>
    </row>
    <row r="61" spans="2:7" ht="39.75" customHeight="1" x14ac:dyDescent="0.25">
      <c r="B61" s="98" t="s">
        <v>133</v>
      </c>
      <c r="C61" s="98">
        <f ca="1">ROUND(C43*C47/26,2)</f>
        <v>0</v>
      </c>
      <c r="D61" s="27"/>
      <c r="E61" s="27"/>
      <c r="F61" s="27"/>
      <c r="G61" s="27"/>
    </row>
  </sheetData>
  <mergeCells count="16">
    <mergeCell ref="E5:E6"/>
    <mergeCell ref="F5:G6"/>
    <mergeCell ref="D17:E17"/>
    <mergeCell ref="B1:G1"/>
    <mergeCell ref="B2:G2"/>
    <mergeCell ref="B3:C3"/>
    <mergeCell ref="D3:G3"/>
    <mergeCell ref="B4:C4"/>
    <mergeCell ref="H35:I36"/>
    <mergeCell ref="B38:G38"/>
    <mergeCell ref="F7:G7"/>
    <mergeCell ref="D13:F13"/>
    <mergeCell ref="D21:E21"/>
    <mergeCell ref="D22:E22"/>
    <mergeCell ref="B24:G24"/>
    <mergeCell ref="C26:D26"/>
  </mergeCells>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B642A-D270-4E56-8560-113EFB4CF0B9}">
  <dimension ref="A1:K61"/>
  <sheetViews>
    <sheetView topLeftCell="A13" workbookViewId="0">
      <selection activeCell="A13" sqref="A1:XFD1048576"/>
    </sheetView>
  </sheetViews>
  <sheetFormatPr baseColWidth="10" defaultRowHeight="15" x14ac:dyDescent="0.25"/>
  <cols>
    <col min="1" max="1" width="4.7109375" style="27" customWidth="1"/>
    <col min="2" max="2" width="13.28515625" customWidth="1"/>
    <col min="3" max="4" width="14.85546875" customWidth="1"/>
    <col min="5" max="5" width="14.7109375" customWidth="1"/>
    <col min="6" max="6" width="14.85546875" customWidth="1"/>
    <col min="7" max="7" width="16.28515625" customWidth="1"/>
  </cols>
  <sheetData>
    <row r="1" spans="1:11" ht="26.45" customHeight="1" x14ac:dyDescent="0.25">
      <c r="B1" s="172" t="s">
        <v>249</v>
      </c>
      <c r="C1" s="172"/>
      <c r="D1" s="172"/>
      <c r="E1" s="172"/>
      <c r="F1" s="172"/>
      <c r="G1" s="172"/>
    </row>
    <row r="2" spans="1:11" ht="26.45" customHeight="1" x14ac:dyDescent="0.25">
      <c r="B2" s="173"/>
      <c r="C2" s="173"/>
      <c r="D2" s="173"/>
      <c r="E2" s="173"/>
      <c r="F2" s="173"/>
      <c r="G2" s="173"/>
    </row>
    <row r="3" spans="1:11" ht="23.25" customHeight="1" x14ac:dyDescent="0.25">
      <c r="B3" s="166" t="s">
        <v>250</v>
      </c>
      <c r="C3" s="166"/>
      <c r="D3" s="174" t="s">
        <v>251</v>
      </c>
      <c r="E3" s="174"/>
      <c r="F3" s="174"/>
      <c r="G3" s="174"/>
    </row>
    <row r="4" spans="1:11" ht="26.45" customHeight="1" x14ac:dyDescent="0.25">
      <c r="B4" s="175" t="s">
        <v>252</v>
      </c>
      <c r="C4" s="176"/>
      <c r="D4" s="27"/>
      <c r="F4" s="27"/>
      <c r="G4" s="27"/>
    </row>
    <row r="5" spans="1:11" ht="38.25" x14ac:dyDescent="0.25">
      <c r="A5" s="26">
        <v>1</v>
      </c>
      <c r="B5" s="62" t="s">
        <v>253</v>
      </c>
      <c r="C5" s="63"/>
      <c r="E5" s="166">
        <f>ROUND(1.4*11.88*151.67*3*50%/91.25,2)</f>
        <v>41.47</v>
      </c>
      <c r="F5" s="166" t="s">
        <v>254</v>
      </c>
      <c r="G5" s="166"/>
      <c r="I5" s="27"/>
      <c r="J5" s="27"/>
      <c r="K5" s="27"/>
    </row>
    <row r="6" spans="1:11" ht="41.25" customHeight="1" x14ac:dyDescent="0.25">
      <c r="A6" s="26">
        <v>2</v>
      </c>
      <c r="B6" s="64" t="s">
        <v>63</v>
      </c>
      <c r="C6" s="63">
        <v>46204</v>
      </c>
      <c r="D6" s="28"/>
      <c r="E6" s="166"/>
      <c r="F6" s="166"/>
      <c r="G6" s="166"/>
    </row>
    <row r="7" spans="1:11" ht="41.25" customHeight="1" x14ac:dyDescent="0.25">
      <c r="B7" s="64" t="s">
        <v>64</v>
      </c>
      <c r="C7" s="63">
        <v>46387</v>
      </c>
      <c r="D7" s="28"/>
      <c r="E7" s="65">
        <f>1.8*11.88*3*151.67*50%/91.25</f>
        <v>53.314705972602738</v>
      </c>
      <c r="F7" s="165" t="s">
        <v>255</v>
      </c>
      <c r="G7" s="165"/>
    </row>
    <row r="8" spans="1:11" ht="41.25" customHeight="1" x14ac:dyDescent="0.25">
      <c r="B8" s="26" t="s">
        <v>114</v>
      </c>
      <c r="C8" s="63">
        <v>46023</v>
      </c>
      <c r="D8" s="28"/>
      <c r="E8" s="28"/>
      <c r="F8" s="28"/>
      <c r="G8" s="27"/>
    </row>
    <row r="9" spans="1:11" ht="41.25" customHeight="1" x14ac:dyDescent="0.25">
      <c r="B9" s="26" t="s">
        <v>115</v>
      </c>
      <c r="C9" s="63">
        <v>46387</v>
      </c>
      <c r="D9" s="28"/>
      <c r="E9" s="28"/>
      <c r="F9" s="28"/>
      <c r="G9" s="27"/>
    </row>
    <row r="10" spans="1:11" ht="41.25" customHeight="1" x14ac:dyDescent="0.25">
      <c r="B10" s="26" t="s">
        <v>256</v>
      </c>
      <c r="C10" s="66"/>
      <c r="D10" s="28"/>
      <c r="E10" s="28"/>
      <c r="F10" s="28"/>
      <c r="G10" s="27"/>
    </row>
    <row r="11" spans="1:11" ht="39.75" customHeight="1" x14ac:dyDescent="0.25">
      <c r="B11" s="64" t="s">
        <v>65</v>
      </c>
      <c r="C11" s="26">
        <f>C7-C6+1</f>
        <v>184</v>
      </c>
      <c r="D11" s="27"/>
      <c r="E11" s="27"/>
      <c r="F11" s="27"/>
      <c r="G11" s="27"/>
    </row>
    <row r="12" spans="1:11" ht="39.75" customHeight="1" x14ac:dyDescent="0.25">
      <c r="B12" s="64" t="s">
        <v>257</v>
      </c>
      <c r="C12" s="26">
        <v>3</v>
      </c>
      <c r="D12" s="27"/>
      <c r="E12" s="27"/>
      <c r="F12" s="27"/>
      <c r="G12" s="27"/>
    </row>
    <row r="13" spans="1:11" ht="39.75" customHeight="1" x14ac:dyDescent="0.25">
      <c r="B13" s="64" t="s">
        <v>258</v>
      </c>
      <c r="C13" s="26">
        <f>C11-C12</f>
        <v>181</v>
      </c>
      <c r="D13" s="160"/>
      <c r="E13" s="161"/>
      <c r="F13" s="161"/>
      <c r="G13" s="27"/>
    </row>
    <row r="14" spans="1:11" ht="39.75" customHeight="1" x14ac:dyDescent="0.25">
      <c r="B14" s="64" t="s">
        <v>66</v>
      </c>
      <c r="C14" s="26">
        <f ca="1">SUMPRODUCT((WEEKDAY(ROW(INDIRECT(C$6&amp;":"&amp;C$7)))=7)*1)</f>
        <v>26</v>
      </c>
      <c r="D14" s="27"/>
      <c r="E14" s="27"/>
      <c r="F14" s="27"/>
      <c r="G14" s="27"/>
    </row>
    <row r="15" spans="1:11" ht="39.75" customHeight="1" x14ac:dyDescent="0.25">
      <c r="B15" s="64" t="s">
        <v>67</v>
      </c>
      <c r="C15" s="26">
        <f ca="1">C11-C14</f>
        <v>158</v>
      </c>
      <c r="D15" s="27"/>
      <c r="E15" s="27"/>
      <c r="F15" s="27"/>
      <c r="G15" s="27"/>
    </row>
    <row r="16" spans="1:11" ht="39.75" customHeight="1" x14ac:dyDescent="0.25">
      <c r="B16" s="64" t="s">
        <v>68</v>
      </c>
      <c r="C16" s="70">
        <f>NETWORKDAYS(C6,C7)</f>
        <v>132</v>
      </c>
      <c r="D16" s="27"/>
      <c r="E16" s="27"/>
      <c r="F16" s="27"/>
      <c r="G16" s="27"/>
    </row>
    <row r="17" spans="1:10" ht="39.75" customHeight="1" x14ac:dyDescent="0.25">
      <c r="B17" s="67"/>
      <c r="C17" s="26">
        <f>C11-C16</f>
        <v>52</v>
      </c>
      <c r="D17" s="166" t="s">
        <v>5</v>
      </c>
      <c r="E17" s="166"/>
      <c r="F17" s="27"/>
      <c r="G17" s="27"/>
    </row>
    <row r="18" spans="1:10" ht="39.75" customHeight="1" x14ac:dyDescent="0.25">
      <c r="B18" s="67"/>
      <c r="C18" s="27"/>
      <c r="D18" s="27"/>
      <c r="E18" s="27"/>
      <c r="F18" s="27"/>
      <c r="G18" s="27"/>
    </row>
    <row r="19" spans="1:10" ht="39.75" customHeight="1" x14ac:dyDescent="0.25">
      <c r="B19" s="67"/>
      <c r="C19" s="27"/>
      <c r="D19" s="27"/>
      <c r="E19" s="27"/>
      <c r="F19" s="27"/>
      <c r="G19" s="27"/>
    </row>
    <row r="20" spans="1:10" ht="23.25" customHeight="1" x14ac:dyDescent="0.25">
      <c r="B20" s="27"/>
      <c r="C20" s="27"/>
      <c r="D20" s="68"/>
      <c r="E20" s="68"/>
      <c r="F20" s="68"/>
      <c r="G20" s="68"/>
    </row>
    <row r="21" spans="1:10" ht="23.25" customHeight="1" x14ac:dyDescent="0.25">
      <c r="B21" s="26" t="s">
        <v>259</v>
      </c>
      <c r="C21" s="69">
        <v>11.88</v>
      </c>
      <c r="D21" s="166" t="s">
        <v>260</v>
      </c>
      <c r="E21" s="166"/>
      <c r="F21" s="27"/>
      <c r="G21" s="27"/>
    </row>
    <row r="22" spans="1:10" ht="23.25" customHeight="1" x14ac:dyDescent="0.25">
      <c r="B22" s="70" t="s">
        <v>261</v>
      </c>
      <c r="C22" s="71">
        <v>11.88</v>
      </c>
      <c r="D22" s="167" t="s">
        <v>262</v>
      </c>
      <c r="E22" s="168"/>
      <c r="F22" s="72"/>
      <c r="G22" s="72"/>
    </row>
    <row r="23" spans="1:10" x14ac:dyDescent="0.25">
      <c r="B23" s="26" t="s">
        <v>263</v>
      </c>
      <c r="C23" s="73" t="s">
        <v>264</v>
      </c>
      <c r="D23" s="73" t="s">
        <v>265</v>
      </c>
      <c r="E23" s="73" t="s">
        <v>266</v>
      </c>
      <c r="F23" s="73" t="s">
        <v>267</v>
      </c>
      <c r="G23" s="73" t="s">
        <v>268</v>
      </c>
      <c r="J23" s="74"/>
    </row>
    <row r="24" spans="1:10" ht="38.25" customHeight="1" x14ac:dyDescent="0.25">
      <c r="B24" s="169" t="s">
        <v>269</v>
      </c>
      <c r="C24" s="169"/>
      <c r="D24" s="169"/>
      <c r="E24" s="169"/>
      <c r="F24" s="169"/>
      <c r="G24" s="169"/>
      <c r="J24" s="74"/>
    </row>
    <row r="25" spans="1:10" ht="31.15" customHeight="1" x14ac:dyDescent="0.25">
      <c r="A25" s="26">
        <v>10</v>
      </c>
      <c r="B25" s="75" t="s">
        <v>270</v>
      </c>
      <c r="C25" s="76" t="s">
        <v>271</v>
      </c>
      <c r="D25" s="76" t="s">
        <v>272</v>
      </c>
      <c r="E25" s="76" t="s">
        <v>273</v>
      </c>
      <c r="F25" s="76" t="s">
        <v>274</v>
      </c>
      <c r="G25" s="76" t="s">
        <v>275</v>
      </c>
    </row>
    <row r="26" spans="1:10" ht="48.6" customHeight="1" x14ac:dyDescent="0.25">
      <c r="A26" s="26">
        <v>11</v>
      </c>
      <c r="B26" s="77" t="s">
        <v>276</v>
      </c>
      <c r="C26" s="170" t="s">
        <v>277</v>
      </c>
      <c r="D26" s="171"/>
      <c r="E26" s="78" t="s">
        <v>278</v>
      </c>
      <c r="F26" s="79" t="s">
        <v>279</v>
      </c>
      <c r="G26" s="78" t="s">
        <v>280</v>
      </c>
    </row>
    <row r="27" spans="1:10" ht="38.25" customHeight="1" x14ac:dyDescent="0.25">
      <c r="A27" s="26">
        <v>12</v>
      </c>
      <c r="B27" s="80" t="s">
        <v>281</v>
      </c>
      <c r="C27" s="81" t="s">
        <v>282</v>
      </c>
      <c r="D27" s="82" t="s">
        <v>283</v>
      </c>
      <c r="E27" s="83">
        <v>2800</v>
      </c>
      <c r="F27" s="84">
        <f>IF(C7&lt;C5,(IF(B27="202N",1.8*C21*151.67,1.8*C22*151.67)),(IF(B27="202N",1.4*C21*151.67,1.4*C21*151.67)))</f>
        <v>2522.5754400000001</v>
      </c>
      <c r="G27" s="85">
        <f>MIN(F27,E27)</f>
        <v>2522.5754400000001</v>
      </c>
    </row>
    <row r="28" spans="1:10" ht="38.25" customHeight="1" x14ac:dyDescent="0.25">
      <c r="A28" s="26">
        <v>13</v>
      </c>
      <c r="B28" s="80" t="s">
        <v>284</v>
      </c>
      <c r="C28" s="81" t="s">
        <v>285</v>
      </c>
      <c r="D28" s="82" t="s">
        <v>286</v>
      </c>
      <c r="E28" s="83">
        <v>2500</v>
      </c>
      <c r="F28" s="86">
        <f>F27</f>
        <v>2522.5754400000001</v>
      </c>
      <c r="G28" s="85">
        <f>MIN(F28,E28)</f>
        <v>2500</v>
      </c>
    </row>
    <row r="29" spans="1:10" ht="38.25" customHeight="1" x14ac:dyDescent="0.25">
      <c r="A29" s="26">
        <v>14</v>
      </c>
      <c r="B29" s="80" t="s">
        <v>284</v>
      </c>
      <c r="C29" s="81" t="s">
        <v>287</v>
      </c>
      <c r="D29" s="82" t="s">
        <v>288</v>
      </c>
      <c r="E29" s="83">
        <v>3300</v>
      </c>
      <c r="F29" s="86">
        <f>F28</f>
        <v>2522.5754400000001</v>
      </c>
      <c r="G29" s="85">
        <f>MIN(F29,E29)</f>
        <v>2522.5754400000001</v>
      </c>
    </row>
    <row r="30" spans="1:10" ht="38.25" customHeight="1" x14ac:dyDescent="0.25">
      <c r="B30" s="87"/>
      <c r="C30" s="87"/>
      <c r="D30" s="88"/>
      <c r="E30" s="88"/>
      <c r="F30" s="89" t="s">
        <v>289</v>
      </c>
      <c r="G30" s="83">
        <f>SUM(G27:G29)</f>
        <v>7545.1508800000011</v>
      </c>
    </row>
    <row r="31" spans="1:10" ht="38.25" customHeight="1" x14ac:dyDescent="0.25">
      <c r="B31" s="87"/>
      <c r="C31" s="87"/>
      <c r="D31" s="72"/>
      <c r="E31" s="72"/>
      <c r="F31" s="81" t="s">
        <v>290</v>
      </c>
      <c r="G31" s="83">
        <f>ROUND(G30*0.5/91.25,6)</f>
        <v>41.343291999999998</v>
      </c>
    </row>
    <row r="32" spans="1:10" ht="38.25" customHeight="1" x14ac:dyDescent="0.25">
      <c r="B32" s="87"/>
      <c r="C32" s="87"/>
      <c r="D32" s="72"/>
      <c r="E32" s="72"/>
      <c r="F32" s="90" t="s">
        <v>291</v>
      </c>
      <c r="G32" s="91">
        <f>C13</f>
        <v>181</v>
      </c>
    </row>
    <row r="33" spans="2:9" ht="38.25" customHeight="1" x14ac:dyDescent="0.25">
      <c r="B33" s="87"/>
      <c r="C33" s="87"/>
      <c r="D33" s="72"/>
      <c r="E33" s="72"/>
      <c r="F33" s="81" t="s">
        <v>292</v>
      </c>
      <c r="G33" s="83">
        <f>ROUND(G31*G32,2)</f>
        <v>7483.14</v>
      </c>
    </row>
    <row r="34" spans="2:9" ht="38.25" customHeight="1" x14ac:dyDescent="0.25">
      <c r="B34" s="87"/>
      <c r="C34" s="87"/>
      <c r="D34" s="72"/>
      <c r="E34" s="72"/>
      <c r="F34" s="81" t="s">
        <v>293</v>
      </c>
      <c r="G34" s="83">
        <f>ROUND(G33*0.933,2)</f>
        <v>6981.77</v>
      </c>
    </row>
    <row r="35" spans="2:9" ht="38.25" customHeight="1" x14ac:dyDescent="0.25">
      <c r="B35" s="87"/>
      <c r="C35" s="87"/>
      <c r="D35" s="72"/>
      <c r="E35" s="72"/>
      <c r="F35" s="92" t="s">
        <v>294</v>
      </c>
      <c r="G35" s="83">
        <f>G33*2.9%</f>
        <v>217.01105999999999</v>
      </c>
      <c r="H35" s="160" t="s">
        <v>295</v>
      </c>
      <c r="I35" s="161"/>
    </row>
    <row r="36" spans="2:9" ht="38.25" customHeight="1" x14ac:dyDescent="0.25">
      <c r="F36" s="92" t="s">
        <v>296</v>
      </c>
      <c r="G36" s="83">
        <f>G33*3.8%</f>
        <v>284.35932000000003</v>
      </c>
      <c r="H36" s="160"/>
      <c r="I36" s="161"/>
    </row>
    <row r="37" spans="2:9" ht="105" customHeight="1" x14ac:dyDescent="0.25"/>
    <row r="38" spans="2:9" ht="33.75" customHeight="1" x14ac:dyDescent="0.25">
      <c r="B38" s="162" t="s">
        <v>113</v>
      </c>
      <c r="C38" s="163"/>
      <c r="D38" s="163"/>
      <c r="E38" s="163"/>
      <c r="F38" s="163"/>
      <c r="G38" s="164"/>
    </row>
    <row r="39" spans="2:9" ht="33" customHeight="1" x14ac:dyDescent="0.25">
      <c r="B39" s="93" t="s">
        <v>63</v>
      </c>
      <c r="C39" s="94">
        <f>C6</f>
        <v>46204</v>
      </c>
      <c r="D39" s="29"/>
      <c r="E39" s="29"/>
      <c r="F39" s="29"/>
      <c r="G39" s="6"/>
    </row>
    <row r="40" spans="2:9" ht="33" customHeight="1" x14ac:dyDescent="0.25">
      <c r="B40" s="95" t="s">
        <v>64</v>
      </c>
      <c r="C40" s="96">
        <f>C7</f>
        <v>46387</v>
      </c>
      <c r="D40" s="29"/>
      <c r="E40" s="29"/>
      <c r="F40" s="29"/>
      <c r="G40" s="30"/>
    </row>
    <row r="41" spans="2:9" ht="33" customHeight="1" x14ac:dyDescent="0.25">
      <c r="B41" s="95" t="s">
        <v>114</v>
      </c>
      <c r="C41" s="96">
        <f>C8</f>
        <v>46023</v>
      </c>
      <c r="D41" s="28"/>
      <c r="E41" s="28"/>
      <c r="F41" s="28"/>
      <c r="G41" s="27"/>
    </row>
    <row r="42" spans="2:9" ht="33" customHeight="1" x14ac:dyDescent="0.25">
      <c r="B42" s="95" t="s">
        <v>115</v>
      </c>
      <c r="C42" s="96">
        <f>C9</f>
        <v>46387</v>
      </c>
      <c r="D42" s="28"/>
      <c r="E42" s="28"/>
      <c r="F42" s="28"/>
      <c r="G42" s="27"/>
    </row>
    <row r="43" spans="2:9" ht="33" customHeight="1" x14ac:dyDescent="0.25">
      <c r="B43" s="95" t="s">
        <v>116</v>
      </c>
      <c r="C43" s="97">
        <f>C10</f>
        <v>0</v>
      </c>
      <c r="D43" s="27"/>
      <c r="E43" s="27"/>
      <c r="F43" s="27"/>
      <c r="G43" s="27"/>
    </row>
    <row r="44" spans="2:9" ht="33.75" customHeight="1" x14ac:dyDescent="0.25">
      <c r="B44" s="98" t="s">
        <v>65</v>
      </c>
      <c r="C44" s="98">
        <f>C40-C39+1</f>
        <v>184</v>
      </c>
      <c r="D44" s="27"/>
      <c r="E44" s="27"/>
      <c r="F44" s="27"/>
      <c r="G44" s="27"/>
    </row>
    <row r="45" spans="2:9" ht="33.75" customHeight="1" x14ac:dyDescent="0.25">
      <c r="B45" s="99" t="s">
        <v>117</v>
      </c>
      <c r="C45" s="99">
        <f ca="1">SUMPRODUCT((WEEKDAY(ROW(INDIRECT(C$39&amp;":"&amp;C$40)))=7)*1)</f>
        <v>26</v>
      </c>
      <c r="D45" s="27"/>
      <c r="E45" s="27"/>
      <c r="F45" s="27"/>
      <c r="G45" s="27"/>
    </row>
    <row r="46" spans="2:9" ht="33.75" customHeight="1" x14ac:dyDescent="0.25">
      <c r="B46" s="98" t="s">
        <v>118</v>
      </c>
      <c r="C46" s="98">
        <f>NETWORKDAYS(C39,C40)</f>
        <v>132</v>
      </c>
      <c r="D46" s="27"/>
      <c r="E46" s="27"/>
      <c r="F46" s="27"/>
      <c r="G46" s="27"/>
    </row>
    <row r="47" spans="2:9" ht="57" customHeight="1" x14ac:dyDescent="0.25">
      <c r="B47" s="98" t="s">
        <v>119</v>
      </c>
      <c r="C47" s="98">
        <f ca="1">C44-C45</f>
        <v>158</v>
      </c>
      <c r="D47" s="27"/>
      <c r="E47" s="27"/>
      <c r="F47" s="27"/>
      <c r="G47" s="27"/>
    </row>
    <row r="48" spans="2:9" ht="50.45" customHeight="1" x14ac:dyDescent="0.25">
      <c r="B48" s="100" t="s">
        <v>120</v>
      </c>
      <c r="C48" s="100"/>
      <c r="D48" s="6"/>
      <c r="E48" s="6"/>
      <c r="F48" s="6"/>
      <c r="G48" s="6"/>
    </row>
    <row r="49" spans="2:7" ht="48" customHeight="1" x14ac:dyDescent="0.25">
      <c r="B49" s="100" t="s">
        <v>121</v>
      </c>
      <c r="C49" s="100"/>
      <c r="D49" s="6"/>
      <c r="E49" s="6"/>
      <c r="F49" s="6"/>
      <c r="G49" s="6"/>
    </row>
    <row r="50" spans="2:7" ht="45.6" customHeight="1" x14ac:dyDescent="0.25">
      <c r="B50" s="101" t="s">
        <v>122</v>
      </c>
      <c r="C50" s="98">
        <v>147</v>
      </c>
      <c r="D50" s="27"/>
      <c r="E50" s="27"/>
      <c r="F50" s="27"/>
      <c r="G50" s="27"/>
    </row>
    <row r="51" spans="2:7" ht="44.45" customHeight="1" x14ac:dyDescent="0.25">
      <c r="B51" s="99" t="s">
        <v>123</v>
      </c>
      <c r="C51" s="99">
        <f>NETWORKDAYS(C41,C42)</f>
        <v>261</v>
      </c>
      <c r="D51" s="27"/>
      <c r="E51" s="27"/>
      <c r="F51" s="27"/>
      <c r="G51" s="27"/>
    </row>
    <row r="52" spans="2:7" ht="38.25" customHeight="1" x14ac:dyDescent="0.25">
      <c r="B52" s="98" t="s">
        <v>124</v>
      </c>
      <c r="C52" s="98">
        <f>ROUND(C43*C46/C51,2)</f>
        <v>0</v>
      </c>
      <c r="D52" s="27"/>
      <c r="E52" s="27"/>
      <c r="F52" s="27"/>
      <c r="G52" s="27"/>
    </row>
    <row r="53" spans="2:7" ht="28.5" customHeight="1" x14ac:dyDescent="0.25">
      <c r="B53" s="98" t="s">
        <v>125</v>
      </c>
      <c r="C53" s="98">
        <f>ROUND(C43*C46/22,2)</f>
        <v>0</v>
      </c>
      <c r="D53" s="27"/>
      <c r="E53" s="27"/>
      <c r="F53" s="27"/>
      <c r="G53" s="27"/>
    </row>
    <row r="54" spans="2:7" ht="41.25" customHeight="1" x14ac:dyDescent="0.25">
      <c r="B54" s="98" t="s">
        <v>126</v>
      </c>
      <c r="C54" s="98">
        <f>ROUND(C43*C46/21.67,2)</f>
        <v>0</v>
      </c>
      <c r="D54" s="27"/>
      <c r="E54" s="27"/>
      <c r="F54" s="27"/>
      <c r="G54" s="27"/>
    </row>
    <row r="55" spans="2:7" ht="36" customHeight="1" x14ac:dyDescent="0.25">
      <c r="B55" s="99" t="s">
        <v>127</v>
      </c>
      <c r="C55" s="99">
        <f>C42-C41+1</f>
        <v>365</v>
      </c>
      <c r="D55" s="27"/>
      <c r="E55" s="27"/>
      <c r="F55" s="27"/>
      <c r="G55" s="27"/>
    </row>
    <row r="56" spans="2:7" ht="39" customHeight="1" x14ac:dyDescent="0.25">
      <c r="B56" s="98" t="s">
        <v>128</v>
      </c>
      <c r="C56" s="98">
        <f>ROUND(C43*C44/C55,2)</f>
        <v>0</v>
      </c>
      <c r="D56" s="27"/>
      <c r="E56" s="27"/>
      <c r="F56" s="27"/>
      <c r="G56" s="27"/>
    </row>
    <row r="57" spans="2:7" ht="42.6" customHeight="1" x14ac:dyDescent="0.25">
      <c r="B57" s="98" t="s">
        <v>129</v>
      </c>
      <c r="C57" s="98">
        <f>ROUND(C43*C44/30,2)</f>
        <v>0</v>
      </c>
      <c r="D57" s="27"/>
      <c r="E57" s="27"/>
      <c r="F57" s="27"/>
      <c r="G57" s="27"/>
    </row>
    <row r="58" spans="2:7" ht="36" customHeight="1" x14ac:dyDescent="0.25">
      <c r="B58" s="99" t="s">
        <v>130</v>
      </c>
      <c r="C58" s="99">
        <f ca="1">SUMPRODUCT((WEEKDAY(ROW(INDIRECT($C41&amp;":"&amp;$C42)))=7)*1)</f>
        <v>52</v>
      </c>
      <c r="D58" s="27"/>
      <c r="E58" s="27"/>
      <c r="F58" s="27"/>
      <c r="G58" s="27"/>
    </row>
    <row r="59" spans="2:7" ht="36" customHeight="1" x14ac:dyDescent="0.25">
      <c r="B59" s="99" t="s">
        <v>131</v>
      </c>
      <c r="C59" s="99">
        <f ca="1">C55-C58</f>
        <v>313</v>
      </c>
      <c r="D59" s="27"/>
      <c r="E59" s="27"/>
      <c r="F59" s="27"/>
      <c r="G59" s="27"/>
    </row>
    <row r="60" spans="2:7" ht="39.75" customHeight="1" x14ac:dyDescent="0.25">
      <c r="B60" s="98" t="s">
        <v>132</v>
      </c>
      <c r="C60" s="98">
        <f ca="1">ROUND(C43*C47/C59,2)</f>
        <v>0</v>
      </c>
      <c r="D60" s="27"/>
      <c r="E60" s="27"/>
      <c r="F60" s="27"/>
      <c r="G60" s="27"/>
    </row>
    <row r="61" spans="2:7" ht="39.75" customHeight="1" x14ac:dyDescent="0.25">
      <c r="B61" s="98" t="s">
        <v>133</v>
      </c>
      <c r="C61" s="98">
        <f ca="1">ROUND(C43*C47/26,2)</f>
        <v>0</v>
      </c>
      <c r="D61" s="27"/>
      <c r="E61" s="27"/>
      <c r="F61" s="27"/>
      <c r="G61" s="27"/>
    </row>
  </sheetData>
  <mergeCells count="16">
    <mergeCell ref="C26:D26"/>
    <mergeCell ref="H35:I36"/>
    <mergeCell ref="B38:G38"/>
    <mergeCell ref="F7:G7"/>
    <mergeCell ref="D13:F13"/>
    <mergeCell ref="D17:E17"/>
    <mergeCell ref="D21:E21"/>
    <mergeCell ref="D22:E22"/>
    <mergeCell ref="B24:G24"/>
    <mergeCell ref="E5:E6"/>
    <mergeCell ref="F5:G6"/>
    <mergeCell ref="B1:G1"/>
    <mergeCell ref="B2:G2"/>
    <mergeCell ref="B3:C3"/>
    <mergeCell ref="D3:G3"/>
    <mergeCell ref="B4:C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39F83A-E583-4E3F-A8EF-B9ED82737882}">
  <dimension ref="A1:K61"/>
  <sheetViews>
    <sheetView topLeftCell="A11" workbookViewId="0">
      <selection activeCell="C9" sqref="C9"/>
    </sheetView>
  </sheetViews>
  <sheetFormatPr baseColWidth="10" defaultRowHeight="15" x14ac:dyDescent="0.25"/>
  <cols>
    <col min="1" max="1" width="4.7109375" style="27" customWidth="1"/>
    <col min="2" max="2" width="13.28515625" customWidth="1"/>
    <col min="3" max="4" width="14.85546875" customWidth="1"/>
    <col min="5" max="5" width="14.7109375" customWidth="1"/>
    <col min="6" max="6" width="14.85546875" customWidth="1"/>
    <col min="7" max="7" width="16.28515625" customWidth="1"/>
  </cols>
  <sheetData>
    <row r="1" spans="1:11" ht="26.45" customHeight="1" x14ac:dyDescent="0.25">
      <c r="B1" s="172" t="s">
        <v>249</v>
      </c>
      <c r="C1" s="172"/>
      <c r="D1" s="172"/>
      <c r="E1" s="172"/>
      <c r="F1" s="172"/>
      <c r="G1" s="172"/>
    </row>
    <row r="2" spans="1:11" ht="26.45" customHeight="1" x14ac:dyDescent="0.25">
      <c r="B2" s="173"/>
      <c r="C2" s="173"/>
      <c r="D2" s="173"/>
      <c r="E2" s="173"/>
      <c r="F2" s="173"/>
      <c r="G2" s="173"/>
    </row>
    <row r="3" spans="1:11" ht="23.25" customHeight="1" x14ac:dyDescent="0.25">
      <c r="B3" s="166" t="s">
        <v>250</v>
      </c>
      <c r="C3" s="166"/>
      <c r="D3" s="174" t="s">
        <v>251</v>
      </c>
      <c r="E3" s="174"/>
      <c r="F3" s="174"/>
      <c r="G3" s="174"/>
    </row>
    <row r="4" spans="1:11" ht="26.45" customHeight="1" x14ac:dyDescent="0.25">
      <c r="B4" s="175" t="s">
        <v>252</v>
      </c>
      <c r="C4" s="176"/>
      <c r="D4" s="27"/>
      <c r="F4" s="27"/>
      <c r="G4" s="27"/>
    </row>
    <row r="5" spans="1:11" ht="38.25" x14ac:dyDescent="0.25">
      <c r="A5" s="26">
        <v>1</v>
      </c>
      <c r="B5" s="62" t="s">
        <v>253</v>
      </c>
      <c r="C5" s="63"/>
      <c r="E5" s="166">
        <f>ROUND(1.4*11.88*151.67*3*50%/91.25,2)</f>
        <v>41.47</v>
      </c>
      <c r="F5" s="166" t="s">
        <v>254</v>
      </c>
      <c r="G5" s="166"/>
      <c r="I5" s="27"/>
      <c r="J5" s="27"/>
      <c r="K5" s="27"/>
    </row>
    <row r="6" spans="1:11" ht="41.25" customHeight="1" x14ac:dyDescent="0.25">
      <c r="A6" s="26">
        <v>2</v>
      </c>
      <c r="B6" s="64" t="s">
        <v>63</v>
      </c>
      <c r="C6" s="63">
        <v>46144</v>
      </c>
      <c r="D6" s="28"/>
      <c r="E6" s="166"/>
      <c r="F6" s="166"/>
      <c r="G6" s="166"/>
    </row>
    <row r="7" spans="1:11" ht="41.25" customHeight="1" x14ac:dyDescent="0.25">
      <c r="B7" s="64" t="s">
        <v>64</v>
      </c>
      <c r="C7" s="63">
        <v>46387</v>
      </c>
      <c r="D7" s="28"/>
      <c r="E7" s="65">
        <f>1.8*11.88*3*151.67*50%/91.25</f>
        <v>53.314705972602738</v>
      </c>
      <c r="F7" s="165" t="s">
        <v>255</v>
      </c>
      <c r="G7" s="165"/>
    </row>
    <row r="8" spans="1:11" ht="41.25" customHeight="1" x14ac:dyDescent="0.25">
      <c r="B8" s="26" t="s">
        <v>114</v>
      </c>
      <c r="C8" s="63">
        <v>46143</v>
      </c>
      <c r="D8" s="28"/>
      <c r="E8" s="28"/>
      <c r="F8" s="28"/>
      <c r="G8" s="27"/>
    </row>
    <row r="9" spans="1:11" ht="41.25" customHeight="1" x14ac:dyDescent="0.25">
      <c r="B9" s="26" t="s">
        <v>115</v>
      </c>
      <c r="C9" s="63">
        <v>46387</v>
      </c>
      <c r="D9" s="28"/>
      <c r="E9" s="28"/>
      <c r="F9" s="28"/>
      <c r="G9" s="27"/>
    </row>
    <row r="10" spans="1:11" ht="41.25" customHeight="1" x14ac:dyDescent="0.25">
      <c r="B10" s="26" t="s">
        <v>256</v>
      </c>
      <c r="C10" s="66"/>
      <c r="D10" s="28"/>
      <c r="E10" s="28"/>
      <c r="F10" s="28"/>
      <c r="G10" s="27"/>
    </row>
    <row r="11" spans="1:11" ht="39.75" customHeight="1" x14ac:dyDescent="0.25">
      <c r="B11" s="64" t="s">
        <v>65</v>
      </c>
      <c r="C11" s="26">
        <f>C7-C6+1</f>
        <v>244</v>
      </c>
      <c r="D11" s="27"/>
      <c r="E11" s="27"/>
      <c r="F11" s="27"/>
      <c r="G11" s="27"/>
    </row>
    <row r="12" spans="1:11" ht="39.75" customHeight="1" x14ac:dyDescent="0.25">
      <c r="B12" s="64" t="s">
        <v>257</v>
      </c>
      <c r="C12" s="26">
        <v>3</v>
      </c>
      <c r="D12" s="27"/>
      <c r="E12" s="27"/>
      <c r="F12" s="27"/>
      <c r="G12" s="27"/>
    </row>
    <row r="13" spans="1:11" ht="39.75" customHeight="1" x14ac:dyDescent="0.25">
      <c r="B13" s="64" t="s">
        <v>258</v>
      </c>
      <c r="C13" s="26">
        <f>C11-C12</f>
        <v>241</v>
      </c>
      <c r="D13" s="160"/>
      <c r="E13" s="161"/>
      <c r="F13" s="161"/>
      <c r="G13" s="27"/>
    </row>
    <row r="14" spans="1:11" ht="39.75" customHeight="1" x14ac:dyDescent="0.25">
      <c r="B14" s="64" t="s">
        <v>66</v>
      </c>
      <c r="C14" s="26">
        <f ca="1">SUMPRODUCT((WEEKDAY(ROW(INDIRECT(C$6&amp;":"&amp;C$7)))=7)*1)</f>
        <v>35</v>
      </c>
      <c r="D14" s="27"/>
      <c r="E14" s="27"/>
      <c r="F14" s="27"/>
      <c r="G14" s="27"/>
    </row>
    <row r="15" spans="1:11" ht="39.75" customHeight="1" x14ac:dyDescent="0.25">
      <c r="B15" s="64" t="s">
        <v>67</v>
      </c>
      <c r="C15" s="26">
        <f ca="1">C11-C14</f>
        <v>209</v>
      </c>
      <c r="D15" s="27"/>
      <c r="E15" s="27"/>
      <c r="F15" s="27"/>
      <c r="G15" s="27"/>
    </row>
    <row r="16" spans="1:11" ht="39.75" customHeight="1" x14ac:dyDescent="0.25">
      <c r="B16" s="64" t="s">
        <v>68</v>
      </c>
      <c r="C16" s="70">
        <f>NETWORKDAYS(C6,C7)</f>
        <v>174</v>
      </c>
      <c r="D16" s="27"/>
      <c r="E16" s="27"/>
      <c r="F16" s="27"/>
      <c r="G16" s="27"/>
    </row>
    <row r="17" spans="1:10" ht="39.75" customHeight="1" x14ac:dyDescent="0.25">
      <c r="B17" s="67"/>
      <c r="C17" s="26">
        <f>C11-C16</f>
        <v>70</v>
      </c>
      <c r="D17" s="166" t="s">
        <v>5</v>
      </c>
      <c r="E17" s="166"/>
      <c r="F17" s="27"/>
      <c r="G17" s="27"/>
    </row>
    <row r="18" spans="1:10" ht="39.75" customHeight="1" x14ac:dyDescent="0.25">
      <c r="B18" s="67"/>
      <c r="C18" s="27"/>
      <c r="D18" s="27"/>
      <c r="E18" s="27"/>
      <c r="F18" s="27"/>
      <c r="G18" s="27"/>
    </row>
    <row r="19" spans="1:10" ht="39.75" customHeight="1" x14ac:dyDescent="0.25">
      <c r="B19" s="67"/>
      <c r="C19" s="27"/>
      <c r="D19" s="27"/>
      <c r="E19" s="27"/>
      <c r="F19" s="27"/>
      <c r="G19" s="27"/>
    </row>
    <row r="20" spans="1:10" ht="23.25" customHeight="1" x14ac:dyDescent="0.25">
      <c r="B20" s="27"/>
      <c r="C20" s="27"/>
      <c r="D20" s="68"/>
      <c r="E20" s="68"/>
      <c r="F20" s="68"/>
      <c r="G20" s="68"/>
    </row>
    <row r="21" spans="1:10" ht="23.25" customHeight="1" x14ac:dyDescent="0.25">
      <c r="B21" s="26" t="s">
        <v>259</v>
      </c>
      <c r="C21" s="69">
        <v>11.88</v>
      </c>
      <c r="D21" s="166" t="s">
        <v>260</v>
      </c>
      <c r="E21" s="166"/>
      <c r="F21" s="27"/>
      <c r="G21" s="27"/>
    </row>
    <row r="22" spans="1:10" ht="23.25" customHeight="1" x14ac:dyDescent="0.25">
      <c r="B22" s="70" t="s">
        <v>261</v>
      </c>
      <c r="C22" s="71">
        <v>11.88</v>
      </c>
      <c r="D22" s="167" t="s">
        <v>262</v>
      </c>
      <c r="E22" s="168"/>
      <c r="F22" s="72"/>
      <c r="G22" s="72"/>
    </row>
    <row r="23" spans="1:10" x14ac:dyDescent="0.25">
      <c r="B23" s="26" t="s">
        <v>263</v>
      </c>
      <c r="C23" s="73" t="s">
        <v>264</v>
      </c>
      <c r="D23" s="73" t="s">
        <v>265</v>
      </c>
      <c r="E23" s="73" t="s">
        <v>266</v>
      </c>
      <c r="F23" s="73" t="s">
        <v>267</v>
      </c>
      <c r="G23" s="73" t="s">
        <v>268</v>
      </c>
      <c r="J23" s="74"/>
    </row>
    <row r="24" spans="1:10" ht="38.25" customHeight="1" x14ac:dyDescent="0.25">
      <c r="B24" s="169" t="s">
        <v>269</v>
      </c>
      <c r="C24" s="169"/>
      <c r="D24" s="169"/>
      <c r="E24" s="169"/>
      <c r="F24" s="169"/>
      <c r="G24" s="169"/>
      <c r="J24" s="74"/>
    </row>
    <row r="25" spans="1:10" ht="31.15" customHeight="1" x14ac:dyDescent="0.25">
      <c r="A25" s="26">
        <v>10</v>
      </c>
      <c r="B25" s="75" t="s">
        <v>270</v>
      </c>
      <c r="C25" s="76" t="s">
        <v>271</v>
      </c>
      <c r="D25" s="76" t="s">
        <v>272</v>
      </c>
      <c r="E25" s="76" t="s">
        <v>273</v>
      </c>
      <c r="F25" s="76" t="s">
        <v>274</v>
      </c>
      <c r="G25" s="76" t="s">
        <v>275</v>
      </c>
    </row>
    <row r="26" spans="1:10" ht="48.6" customHeight="1" x14ac:dyDescent="0.25">
      <c r="A26" s="26">
        <v>11</v>
      </c>
      <c r="B26" s="77" t="s">
        <v>276</v>
      </c>
      <c r="C26" s="170" t="s">
        <v>277</v>
      </c>
      <c r="D26" s="171"/>
      <c r="E26" s="78" t="s">
        <v>278</v>
      </c>
      <c r="F26" s="79" t="s">
        <v>279</v>
      </c>
      <c r="G26" s="78" t="s">
        <v>280</v>
      </c>
    </row>
    <row r="27" spans="1:10" ht="38.25" customHeight="1" x14ac:dyDescent="0.25">
      <c r="A27" s="26">
        <v>12</v>
      </c>
      <c r="B27" s="80" t="s">
        <v>281</v>
      </c>
      <c r="C27" s="81" t="s">
        <v>282</v>
      </c>
      <c r="D27" s="82" t="s">
        <v>283</v>
      </c>
      <c r="E27" s="83">
        <v>2800</v>
      </c>
      <c r="F27" s="84">
        <f>IF(C7&lt;C5,(IF(B27="202N",1.8*C21*151.67,1.8*C22*151.67)),(IF(B27="202N",1.4*C21*151.67,1.4*C21*151.67)))</f>
        <v>2522.5754400000001</v>
      </c>
      <c r="G27" s="85">
        <f>MIN(F27,E27)</f>
        <v>2522.5754400000001</v>
      </c>
    </row>
    <row r="28" spans="1:10" ht="38.25" customHeight="1" x14ac:dyDescent="0.25">
      <c r="A28" s="26">
        <v>13</v>
      </c>
      <c r="B28" s="80" t="s">
        <v>284</v>
      </c>
      <c r="C28" s="81" t="s">
        <v>285</v>
      </c>
      <c r="D28" s="82" t="s">
        <v>286</v>
      </c>
      <c r="E28" s="83">
        <v>2500</v>
      </c>
      <c r="F28" s="86">
        <f>F27</f>
        <v>2522.5754400000001</v>
      </c>
      <c r="G28" s="85">
        <f>MIN(F28,E28)</f>
        <v>2500</v>
      </c>
    </row>
    <row r="29" spans="1:10" ht="38.25" customHeight="1" x14ac:dyDescent="0.25">
      <c r="A29" s="26">
        <v>14</v>
      </c>
      <c r="B29" s="80" t="s">
        <v>284</v>
      </c>
      <c r="C29" s="81" t="s">
        <v>287</v>
      </c>
      <c r="D29" s="82" t="s">
        <v>288</v>
      </c>
      <c r="E29" s="83">
        <v>3300</v>
      </c>
      <c r="F29" s="86">
        <f>F28</f>
        <v>2522.5754400000001</v>
      </c>
      <c r="G29" s="85">
        <f>MIN(F29,E29)</f>
        <v>2522.5754400000001</v>
      </c>
    </row>
    <row r="30" spans="1:10" ht="38.25" customHeight="1" x14ac:dyDescent="0.25">
      <c r="B30" s="87"/>
      <c r="C30" s="87"/>
      <c r="D30" s="88"/>
      <c r="E30" s="88"/>
      <c r="F30" s="89" t="s">
        <v>289</v>
      </c>
      <c r="G30" s="83">
        <f>SUM(G27:G29)</f>
        <v>7545.1508800000011</v>
      </c>
    </row>
    <row r="31" spans="1:10" ht="38.25" customHeight="1" x14ac:dyDescent="0.25">
      <c r="B31" s="87"/>
      <c r="C31" s="87"/>
      <c r="D31" s="72"/>
      <c r="E31" s="72"/>
      <c r="F31" s="81" t="s">
        <v>290</v>
      </c>
      <c r="G31" s="83">
        <f>ROUND(G30*0.5/91.25,6)</f>
        <v>41.343291999999998</v>
      </c>
    </row>
    <row r="32" spans="1:10" ht="38.25" customHeight="1" x14ac:dyDescent="0.25">
      <c r="B32" s="87"/>
      <c r="C32" s="87"/>
      <c r="D32" s="72"/>
      <c r="E32" s="72"/>
      <c r="F32" s="90" t="s">
        <v>291</v>
      </c>
      <c r="G32" s="91">
        <f>C13</f>
        <v>241</v>
      </c>
    </row>
    <row r="33" spans="2:9" ht="38.25" customHeight="1" x14ac:dyDescent="0.25">
      <c r="B33" s="87"/>
      <c r="C33" s="87"/>
      <c r="D33" s="72"/>
      <c r="E33" s="72"/>
      <c r="F33" s="81" t="s">
        <v>292</v>
      </c>
      <c r="G33" s="83">
        <f>ROUND(G31*G32,2)</f>
        <v>9963.73</v>
      </c>
    </row>
    <row r="34" spans="2:9" ht="38.25" customHeight="1" x14ac:dyDescent="0.25">
      <c r="B34" s="87"/>
      <c r="C34" s="87"/>
      <c r="D34" s="72"/>
      <c r="E34" s="72"/>
      <c r="F34" s="81" t="s">
        <v>293</v>
      </c>
      <c r="G34" s="83">
        <f>ROUND(G33*0.933,2)</f>
        <v>9296.16</v>
      </c>
    </row>
    <row r="35" spans="2:9" ht="38.25" customHeight="1" x14ac:dyDescent="0.25">
      <c r="B35" s="87"/>
      <c r="C35" s="87"/>
      <c r="D35" s="72"/>
      <c r="E35" s="72"/>
      <c r="F35" s="92" t="s">
        <v>294</v>
      </c>
      <c r="G35" s="83">
        <f>G33*2.9%</f>
        <v>288.94816999999995</v>
      </c>
      <c r="H35" s="160" t="s">
        <v>295</v>
      </c>
      <c r="I35" s="161"/>
    </row>
    <row r="36" spans="2:9" ht="38.25" customHeight="1" x14ac:dyDescent="0.25">
      <c r="F36" s="92" t="s">
        <v>296</v>
      </c>
      <c r="G36" s="83">
        <f>G33*3.8%</f>
        <v>378.62173999999999</v>
      </c>
      <c r="H36" s="160"/>
      <c r="I36" s="161"/>
    </row>
    <row r="37" spans="2:9" ht="105" customHeight="1" x14ac:dyDescent="0.25"/>
    <row r="38" spans="2:9" ht="33.75" customHeight="1" x14ac:dyDescent="0.25">
      <c r="B38" s="162" t="s">
        <v>113</v>
      </c>
      <c r="C38" s="163"/>
      <c r="D38" s="163"/>
      <c r="E38" s="163"/>
      <c r="F38" s="163"/>
      <c r="G38" s="164"/>
    </row>
    <row r="39" spans="2:9" ht="33" customHeight="1" x14ac:dyDescent="0.25">
      <c r="B39" s="93" t="s">
        <v>63</v>
      </c>
      <c r="C39" s="94">
        <f>C6</f>
        <v>46144</v>
      </c>
      <c r="D39" s="29"/>
      <c r="E39" s="29"/>
      <c r="F39" s="29"/>
      <c r="G39" s="6"/>
    </row>
    <row r="40" spans="2:9" ht="33" customHeight="1" x14ac:dyDescent="0.25">
      <c r="B40" s="95" t="s">
        <v>64</v>
      </c>
      <c r="C40" s="96">
        <f>C7</f>
        <v>46387</v>
      </c>
      <c r="D40" s="29"/>
      <c r="E40" s="29"/>
      <c r="F40" s="29"/>
      <c r="G40" s="30"/>
    </row>
    <row r="41" spans="2:9" ht="33" customHeight="1" x14ac:dyDescent="0.25">
      <c r="B41" s="95" t="s">
        <v>114</v>
      </c>
      <c r="C41" s="96">
        <f>C8</f>
        <v>46143</v>
      </c>
      <c r="D41" s="28"/>
      <c r="E41" s="28"/>
      <c r="F41" s="28"/>
      <c r="G41" s="27"/>
    </row>
    <row r="42" spans="2:9" ht="33" customHeight="1" x14ac:dyDescent="0.25">
      <c r="B42" s="95" t="s">
        <v>115</v>
      </c>
      <c r="C42" s="96">
        <f>C9</f>
        <v>46387</v>
      </c>
      <c r="D42" s="28"/>
      <c r="E42" s="28"/>
      <c r="F42" s="28"/>
      <c r="G42" s="27"/>
    </row>
    <row r="43" spans="2:9" ht="33" customHeight="1" x14ac:dyDescent="0.25">
      <c r="B43" s="95" t="s">
        <v>116</v>
      </c>
      <c r="C43" s="97">
        <f>C10</f>
        <v>0</v>
      </c>
      <c r="D43" s="27"/>
      <c r="E43" s="27"/>
      <c r="F43" s="27"/>
      <c r="G43" s="27"/>
    </row>
    <row r="44" spans="2:9" ht="33.75" customHeight="1" x14ac:dyDescent="0.25">
      <c r="B44" s="98" t="s">
        <v>65</v>
      </c>
      <c r="C44" s="98">
        <f>C40-C39+1</f>
        <v>244</v>
      </c>
      <c r="D44" s="27"/>
      <c r="E44" s="27"/>
      <c r="F44" s="27"/>
      <c r="G44" s="27"/>
    </row>
    <row r="45" spans="2:9" ht="33.75" customHeight="1" x14ac:dyDescent="0.25">
      <c r="B45" s="99" t="s">
        <v>117</v>
      </c>
      <c r="C45" s="99">
        <f ca="1">SUMPRODUCT((WEEKDAY(ROW(INDIRECT(C$39&amp;":"&amp;C$40)))=7)*1)</f>
        <v>35</v>
      </c>
      <c r="D45" s="27"/>
      <c r="E45" s="27"/>
      <c r="F45" s="27"/>
      <c r="G45" s="27"/>
    </row>
    <row r="46" spans="2:9" ht="33.75" customHeight="1" x14ac:dyDescent="0.25">
      <c r="B46" s="98" t="s">
        <v>118</v>
      </c>
      <c r="C46" s="98">
        <f>NETWORKDAYS(C39,C40)</f>
        <v>174</v>
      </c>
      <c r="D46" s="27"/>
      <c r="E46" s="27"/>
      <c r="F46" s="27"/>
      <c r="G46" s="27"/>
    </row>
    <row r="47" spans="2:9" ht="57" customHeight="1" x14ac:dyDescent="0.25">
      <c r="B47" s="98" t="s">
        <v>119</v>
      </c>
      <c r="C47" s="98">
        <f ca="1">C44-C45</f>
        <v>209</v>
      </c>
      <c r="D47" s="27"/>
      <c r="E47" s="27"/>
      <c r="F47" s="27"/>
      <c r="G47" s="27"/>
    </row>
    <row r="48" spans="2:9" ht="50.45" customHeight="1" x14ac:dyDescent="0.25">
      <c r="B48" s="100" t="s">
        <v>120</v>
      </c>
      <c r="C48" s="100"/>
      <c r="D48" s="6"/>
      <c r="E48" s="6"/>
      <c r="F48" s="6"/>
      <c r="G48" s="6"/>
    </row>
    <row r="49" spans="2:7" ht="48" customHeight="1" x14ac:dyDescent="0.25">
      <c r="B49" s="100" t="s">
        <v>121</v>
      </c>
      <c r="C49" s="100"/>
      <c r="D49" s="6"/>
      <c r="E49" s="6"/>
      <c r="F49" s="6"/>
      <c r="G49" s="6"/>
    </row>
    <row r="50" spans="2:7" ht="45.6" customHeight="1" x14ac:dyDescent="0.25">
      <c r="B50" s="101" t="s">
        <v>122</v>
      </c>
      <c r="C50" s="98">
        <v>147</v>
      </c>
      <c r="D50" s="27"/>
      <c r="E50" s="27"/>
      <c r="F50" s="27"/>
      <c r="G50" s="27"/>
    </row>
    <row r="51" spans="2:7" ht="44.45" customHeight="1" x14ac:dyDescent="0.25">
      <c r="B51" s="99" t="s">
        <v>123</v>
      </c>
      <c r="C51" s="99">
        <f>NETWORKDAYS(C41,C42)</f>
        <v>175</v>
      </c>
      <c r="D51" s="27"/>
      <c r="E51" s="27"/>
      <c r="F51" s="27"/>
      <c r="G51" s="27"/>
    </row>
    <row r="52" spans="2:7" ht="38.25" customHeight="1" x14ac:dyDescent="0.25">
      <c r="B52" s="98" t="s">
        <v>124</v>
      </c>
      <c r="C52" s="98">
        <f>ROUND(C43*C46/C51,2)</f>
        <v>0</v>
      </c>
      <c r="D52" s="27"/>
      <c r="E52" s="27"/>
      <c r="F52" s="27"/>
      <c r="G52" s="27"/>
    </row>
    <row r="53" spans="2:7" ht="28.5" customHeight="1" x14ac:dyDescent="0.25">
      <c r="B53" s="98" t="s">
        <v>125</v>
      </c>
      <c r="C53" s="98">
        <f>ROUND(C43*C46/22,2)</f>
        <v>0</v>
      </c>
      <c r="D53" s="27"/>
      <c r="E53" s="27"/>
      <c r="F53" s="27"/>
      <c r="G53" s="27"/>
    </row>
    <row r="54" spans="2:7" ht="41.25" customHeight="1" x14ac:dyDescent="0.25">
      <c r="B54" s="98" t="s">
        <v>126</v>
      </c>
      <c r="C54" s="98">
        <f>ROUND(C43*C46/21.67,2)</f>
        <v>0</v>
      </c>
      <c r="D54" s="27"/>
      <c r="E54" s="27"/>
      <c r="F54" s="27"/>
      <c r="G54" s="27"/>
    </row>
    <row r="55" spans="2:7" ht="36" customHeight="1" x14ac:dyDescent="0.25">
      <c r="B55" s="99" t="s">
        <v>127</v>
      </c>
      <c r="C55" s="99">
        <f>C42-C41+1</f>
        <v>245</v>
      </c>
      <c r="D55" s="27"/>
      <c r="E55" s="27"/>
      <c r="F55" s="27"/>
      <c r="G55" s="27"/>
    </row>
    <row r="56" spans="2:7" ht="39" customHeight="1" x14ac:dyDescent="0.25">
      <c r="B56" s="98" t="s">
        <v>128</v>
      </c>
      <c r="C56" s="98">
        <f>ROUND(C43*C44/C55,2)</f>
        <v>0</v>
      </c>
      <c r="D56" s="27"/>
      <c r="E56" s="27"/>
      <c r="F56" s="27"/>
      <c r="G56" s="27"/>
    </row>
    <row r="57" spans="2:7" ht="42.6" customHeight="1" x14ac:dyDescent="0.25">
      <c r="B57" s="98" t="s">
        <v>129</v>
      </c>
      <c r="C57" s="98">
        <f>ROUND(C43*C44/30,2)</f>
        <v>0</v>
      </c>
      <c r="D57" s="27"/>
      <c r="E57" s="27"/>
      <c r="F57" s="27"/>
      <c r="G57" s="27"/>
    </row>
    <row r="58" spans="2:7" ht="36" customHeight="1" x14ac:dyDescent="0.25">
      <c r="B58" s="99" t="s">
        <v>130</v>
      </c>
      <c r="C58" s="99">
        <f ca="1">SUMPRODUCT((WEEKDAY(ROW(INDIRECT($C41&amp;":"&amp;$C42)))=7)*1)</f>
        <v>35</v>
      </c>
      <c r="D58" s="27"/>
      <c r="E58" s="27"/>
      <c r="F58" s="27"/>
      <c r="G58" s="27"/>
    </row>
    <row r="59" spans="2:7" ht="36" customHeight="1" x14ac:dyDescent="0.25">
      <c r="B59" s="99" t="s">
        <v>131</v>
      </c>
      <c r="C59" s="99">
        <f ca="1">C55-C58</f>
        <v>210</v>
      </c>
      <c r="D59" s="27"/>
      <c r="E59" s="27"/>
      <c r="F59" s="27"/>
      <c r="G59" s="27"/>
    </row>
    <row r="60" spans="2:7" ht="39.75" customHeight="1" x14ac:dyDescent="0.25">
      <c r="B60" s="98" t="s">
        <v>132</v>
      </c>
      <c r="C60" s="98">
        <f ca="1">ROUND(C43*C47/C59,2)</f>
        <v>0</v>
      </c>
      <c r="D60" s="27"/>
      <c r="E60" s="27"/>
      <c r="F60" s="27"/>
      <c r="G60" s="27"/>
    </row>
    <row r="61" spans="2:7" ht="39.75" customHeight="1" x14ac:dyDescent="0.25">
      <c r="B61" s="98" t="s">
        <v>133</v>
      </c>
      <c r="C61" s="98">
        <f ca="1">ROUND(C43*C47/26,2)</f>
        <v>0</v>
      </c>
      <c r="D61" s="27"/>
      <c r="E61" s="27"/>
      <c r="F61" s="27"/>
      <c r="G61" s="27"/>
    </row>
  </sheetData>
  <mergeCells count="16">
    <mergeCell ref="C26:D26"/>
    <mergeCell ref="H35:I36"/>
    <mergeCell ref="B38:G38"/>
    <mergeCell ref="F7:G7"/>
    <mergeCell ref="D13:F13"/>
    <mergeCell ref="D17:E17"/>
    <mergeCell ref="D21:E21"/>
    <mergeCell ref="D22:E22"/>
    <mergeCell ref="B24:G24"/>
    <mergeCell ref="E5:E6"/>
    <mergeCell ref="F5:G6"/>
    <mergeCell ref="B1:G1"/>
    <mergeCell ref="B2:G2"/>
    <mergeCell ref="B3:C3"/>
    <mergeCell ref="D3:G3"/>
    <mergeCell ref="B4:C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F59AE-17C6-4E4F-8313-51EE58DB2264}">
  <dimension ref="A1:K57"/>
  <sheetViews>
    <sheetView zoomScale="118" workbookViewId="0">
      <selection activeCell="G15" sqref="G15"/>
    </sheetView>
  </sheetViews>
  <sheetFormatPr baseColWidth="10" defaultColWidth="11.42578125" defaultRowHeight="15.75" x14ac:dyDescent="0.25"/>
  <cols>
    <col min="1" max="1" width="18.7109375" style="31" customWidth="1"/>
    <col min="2" max="2" width="24.28515625" style="31" customWidth="1"/>
    <col min="3" max="3" width="33.5703125" style="31" customWidth="1"/>
    <col min="4" max="4" width="11.42578125" style="31"/>
    <col min="5" max="5" width="13" style="31" customWidth="1"/>
    <col min="6" max="6" width="12.5703125" style="31" customWidth="1"/>
    <col min="7" max="7" width="11.42578125" style="31"/>
    <col min="8" max="8" width="13.140625" style="31" customWidth="1"/>
    <col min="9" max="9" width="8" style="31" customWidth="1"/>
    <col min="10" max="16384" width="11.42578125" style="31"/>
  </cols>
  <sheetData>
    <row r="1" spans="1:7" x14ac:dyDescent="0.25">
      <c r="A1" s="46" t="s">
        <v>32</v>
      </c>
      <c r="C1" s="31" t="s">
        <v>231</v>
      </c>
    </row>
    <row r="2" spans="1:7" x14ac:dyDescent="0.25">
      <c r="A2" s="46"/>
    </row>
    <row r="3" spans="1:7" x14ac:dyDescent="0.25">
      <c r="A3" s="46"/>
      <c r="B3" s="3"/>
      <c r="C3" s="3"/>
      <c r="D3" s="5">
        <v>2025</v>
      </c>
      <c r="E3" s="119">
        <v>2026</v>
      </c>
    </row>
    <row r="4" spans="1:7" x14ac:dyDescent="0.25">
      <c r="A4" s="46"/>
      <c r="B4" s="3" t="s">
        <v>4</v>
      </c>
      <c r="C4" s="3"/>
      <c r="D4" s="4">
        <v>365</v>
      </c>
      <c r="E4" s="118">
        <f>D4</f>
        <v>365</v>
      </c>
      <c r="F4" s="19"/>
    </row>
    <row r="5" spans="1:7" x14ac:dyDescent="0.25">
      <c r="A5" s="46"/>
      <c r="B5" s="3" t="s">
        <v>5</v>
      </c>
      <c r="C5" s="3"/>
      <c r="D5" s="41">
        <v>-104</v>
      </c>
      <c r="E5" s="118">
        <f t="shared" ref="E5:E7" si="0">D5</f>
        <v>-104</v>
      </c>
      <c r="F5" s="19"/>
    </row>
    <row r="6" spans="1:7" x14ac:dyDescent="0.25">
      <c r="A6" s="46"/>
      <c r="B6" s="3" t="s">
        <v>6</v>
      </c>
      <c r="C6" s="3"/>
      <c r="D6" s="41">
        <v>-25</v>
      </c>
      <c r="E6" s="118">
        <f t="shared" si="0"/>
        <v>-25</v>
      </c>
      <c r="F6" s="19"/>
    </row>
    <row r="7" spans="1:7" x14ac:dyDescent="0.25">
      <c r="A7" s="46"/>
      <c r="B7" s="3" t="s">
        <v>226</v>
      </c>
      <c r="C7" s="3"/>
      <c r="D7" s="41">
        <f>-10</f>
        <v>-10</v>
      </c>
      <c r="E7" s="118">
        <f t="shared" si="0"/>
        <v>-10</v>
      </c>
      <c r="F7" s="19"/>
    </row>
    <row r="8" spans="1:7" x14ac:dyDescent="0.25">
      <c r="A8" s="46"/>
      <c r="B8" s="3" t="s">
        <v>7</v>
      </c>
      <c r="C8" s="3"/>
      <c r="D8" s="51">
        <f>-9</f>
        <v>-9</v>
      </c>
      <c r="E8" s="118">
        <v>-9</v>
      </c>
      <c r="F8" s="19"/>
    </row>
    <row r="9" spans="1:7" x14ac:dyDescent="0.25">
      <c r="A9" s="46"/>
      <c r="B9" s="3" t="s">
        <v>161</v>
      </c>
      <c r="C9" s="3"/>
      <c r="D9" s="41">
        <f>1</f>
        <v>1</v>
      </c>
      <c r="E9" s="118">
        <v>1</v>
      </c>
      <c r="F9" s="19"/>
    </row>
    <row r="10" spans="1:7" x14ac:dyDescent="0.25">
      <c r="A10" s="46"/>
      <c r="B10" s="3"/>
      <c r="C10" s="3"/>
      <c r="D10" s="5">
        <f>SUM(D4:D9)</f>
        <v>218</v>
      </c>
      <c r="E10" s="5">
        <f>SUM(E4:E9)</f>
        <v>218</v>
      </c>
    </row>
    <row r="11" spans="1:7" x14ac:dyDescent="0.25">
      <c r="A11" s="46"/>
    </row>
    <row r="12" spans="1:7" x14ac:dyDescent="0.25">
      <c r="A12" s="46"/>
    </row>
    <row r="14" spans="1:7" x14ac:dyDescent="0.25">
      <c r="A14" s="46" t="s">
        <v>213</v>
      </c>
    </row>
    <row r="15" spans="1:7" x14ac:dyDescent="0.25">
      <c r="C15" s="31" t="s">
        <v>204</v>
      </c>
      <c r="F15" s="31" t="s">
        <v>210</v>
      </c>
      <c r="G15" s="118">
        <v>218</v>
      </c>
    </row>
    <row r="17" spans="1:11" x14ac:dyDescent="0.25">
      <c r="C17" s="31" t="s">
        <v>205</v>
      </c>
    </row>
    <row r="19" spans="1:11" x14ac:dyDescent="0.25">
      <c r="D19" s="31" t="s">
        <v>206</v>
      </c>
      <c r="F19" s="47">
        <v>46204</v>
      </c>
      <c r="G19" s="105" t="s">
        <v>207</v>
      </c>
      <c r="H19" s="47">
        <v>46387</v>
      </c>
      <c r="J19" s="105">
        <v>184</v>
      </c>
      <c r="K19" s="120" t="s">
        <v>350</v>
      </c>
    </row>
    <row r="20" spans="1:11" x14ac:dyDescent="0.25">
      <c r="F20" s="47"/>
      <c r="G20" s="105"/>
      <c r="H20" s="47"/>
    </row>
    <row r="21" spans="1:11" x14ac:dyDescent="0.25">
      <c r="A21" s="55" t="s">
        <v>149</v>
      </c>
      <c r="B21" s="37"/>
      <c r="C21" s="43">
        <v>46204</v>
      </c>
      <c r="F21" s="47"/>
      <c r="G21" s="105"/>
      <c r="H21" s="47"/>
    </row>
    <row r="22" spans="1:11" x14ac:dyDescent="0.25">
      <c r="A22" s="55" t="s">
        <v>152</v>
      </c>
      <c r="B22" s="37"/>
      <c r="C22" s="43">
        <v>46023</v>
      </c>
    </row>
    <row r="23" spans="1:11" x14ac:dyDescent="0.25">
      <c r="A23" s="55" t="s">
        <v>150</v>
      </c>
      <c r="B23" s="37"/>
      <c r="C23" s="43">
        <v>46387</v>
      </c>
      <c r="D23" s="31" t="s">
        <v>208</v>
      </c>
      <c r="J23" s="105">
        <v>52</v>
      </c>
      <c r="K23" s="31" t="s">
        <v>209</v>
      </c>
    </row>
    <row r="24" spans="1:11" x14ac:dyDescent="0.25">
      <c r="A24" s="55" t="s">
        <v>151</v>
      </c>
      <c r="B24" s="37"/>
      <c r="C24" s="44">
        <f>C23-C21+1</f>
        <v>184</v>
      </c>
      <c r="J24" s="105"/>
    </row>
    <row r="25" spans="1:11" x14ac:dyDescent="0.25">
      <c r="A25" s="55" t="s">
        <v>154</v>
      </c>
      <c r="B25" s="37"/>
      <c r="C25" s="45">
        <f>NETWORKDAYS(C21,C23)</f>
        <v>132</v>
      </c>
      <c r="D25" s="31" t="s">
        <v>229</v>
      </c>
      <c r="I25" s="31" t="s">
        <v>348</v>
      </c>
      <c r="J25" s="105">
        <v>4</v>
      </c>
    </row>
    <row r="26" spans="1:11" x14ac:dyDescent="0.25">
      <c r="A26" s="55" t="s">
        <v>155</v>
      </c>
      <c r="B26" s="37"/>
      <c r="C26" s="44">
        <f>C24-C25</f>
        <v>52</v>
      </c>
      <c r="J26" s="105"/>
    </row>
    <row r="27" spans="1:11" x14ac:dyDescent="0.25">
      <c r="D27" s="31" t="s">
        <v>230</v>
      </c>
      <c r="J27" s="105">
        <v>0</v>
      </c>
    </row>
    <row r="28" spans="1:11" x14ac:dyDescent="0.25">
      <c r="J28" s="105"/>
    </row>
    <row r="29" spans="1:11" x14ac:dyDescent="0.25">
      <c r="A29" s="31" t="s">
        <v>349</v>
      </c>
      <c r="D29" s="31" t="s">
        <v>211</v>
      </c>
      <c r="G29" s="48" t="s">
        <v>351</v>
      </c>
      <c r="H29" s="48">
        <f>11*184/365</f>
        <v>5.5452054794520551</v>
      </c>
      <c r="I29" s="31" t="s">
        <v>212</v>
      </c>
      <c r="J29" s="105">
        <v>6</v>
      </c>
    </row>
    <row r="30" spans="1:11" x14ac:dyDescent="0.25">
      <c r="D30" s="31" t="s">
        <v>300</v>
      </c>
    </row>
    <row r="31" spans="1:11" x14ac:dyDescent="0.25">
      <c r="J31" s="54">
        <f>184-J23-J25-J29</f>
        <v>122</v>
      </c>
    </row>
    <row r="32" spans="1:11" x14ac:dyDescent="0.25">
      <c r="H32" s="31" t="s">
        <v>215</v>
      </c>
    </row>
    <row r="33" spans="1:10" x14ac:dyDescent="0.25">
      <c r="A33" s="1" t="s">
        <v>203</v>
      </c>
    </row>
    <row r="34" spans="1:10" x14ac:dyDescent="0.25">
      <c r="A34" s="1" t="s">
        <v>77</v>
      </c>
    </row>
    <row r="35" spans="1:10" x14ac:dyDescent="0.25">
      <c r="D35" s="1"/>
    </row>
    <row r="36" spans="1:10" x14ac:dyDescent="0.25">
      <c r="A36" s="46" t="s">
        <v>214</v>
      </c>
      <c r="C36" s="31" t="s">
        <v>352</v>
      </c>
      <c r="J36" s="31">
        <v>1</v>
      </c>
    </row>
    <row r="38" spans="1:10" x14ac:dyDescent="0.25">
      <c r="J38" s="54">
        <f>J31+J36</f>
        <v>123</v>
      </c>
    </row>
    <row r="39" spans="1:10" x14ac:dyDescent="0.25">
      <c r="H39" s="31" t="s">
        <v>215</v>
      </c>
    </row>
    <row r="42" spans="1:10" ht="0.6" hidden="1" customHeight="1" x14ac:dyDescent="0.25">
      <c r="A42" s="46" t="s">
        <v>186</v>
      </c>
      <c r="B42" s="31">
        <v>2024</v>
      </c>
    </row>
    <row r="43" spans="1:10" ht="0.6" hidden="1" customHeight="1" x14ac:dyDescent="0.25">
      <c r="C43" s="31">
        <v>218</v>
      </c>
      <c r="D43" s="31" t="s">
        <v>216</v>
      </c>
    </row>
    <row r="44" spans="1:10" ht="0.6" hidden="1" customHeight="1" x14ac:dyDescent="0.25">
      <c r="C44" s="31">
        <v>25</v>
      </c>
      <c r="D44" s="31" t="s">
        <v>217</v>
      </c>
    </row>
    <row r="45" spans="1:10" ht="0.6" hidden="1" customHeight="1" x14ac:dyDescent="0.25">
      <c r="C45" s="31">
        <v>10</v>
      </c>
      <c r="D45" s="31" t="s">
        <v>218</v>
      </c>
    </row>
    <row r="46" spans="1:10" ht="0.6" hidden="1" customHeight="1" x14ac:dyDescent="0.25">
      <c r="C46" s="31">
        <f>SUM(C43:C45)</f>
        <v>253</v>
      </c>
    </row>
    <row r="47" spans="1:10" ht="0.6" hidden="1" customHeight="1" x14ac:dyDescent="0.25"/>
    <row r="48" spans="1:10" ht="0.6" hidden="1" customHeight="1" x14ac:dyDescent="0.25">
      <c r="C48" s="31" t="s">
        <v>219</v>
      </c>
      <c r="E48" s="31">
        <v>184</v>
      </c>
      <c r="F48" s="31" t="s">
        <v>220</v>
      </c>
    </row>
    <row r="49" spans="2:5" ht="0.6" hidden="1" customHeight="1" x14ac:dyDescent="0.25">
      <c r="E49" s="31">
        <v>366</v>
      </c>
    </row>
    <row r="50" spans="2:5" ht="0.6" hidden="1" customHeight="1" x14ac:dyDescent="0.25"/>
    <row r="51" spans="2:5" ht="0.6" hidden="1" customHeight="1" x14ac:dyDescent="0.25">
      <c r="C51" s="31" t="s">
        <v>233</v>
      </c>
      <c r="D51" s="31">
        <f>C46*E48/E49</f>
        <v>127.19125683060109</v>
      </c>
    </row>
    <row r="52" spans="2:5" ht="0.6" hidden="1" customHeight="1" x14ac:dyDescent="0.25"/>
    <row r="53" spans="2:5" ht="0.6" hidden="1" customHeight="1" x14ac:dyDescent="0.25">
      <c r="C53" s="31">
        <v>127</v>
      </c>
      <c r="D53" s="31" t="s">
        <v>221</v>
      </c>
    </row>
    <row r="54" spans="2:5" ht="0.6" hidden="1" customHeight="1" x14ac:dyDescent="0.25">
      <c r="C54" s="31">
        <v>4</v>
      </c>
      <c r="D54" s="31" t="s">
        <v>232</v>
      </c>
    </row>
    <row r="55" spans="2:5" ht="0.6" hidden="1" customHeight="1" x14ac:dyDescent="0.25">
      <c r="C55" s="31">
        <v>123</v>
      </c>
      <c r="D55" s="31" t="s">
        <v>222</v>
      </c>
    </row>
    <row r="56" spans="2:5" ht="0.6" hidden="1" customHeight="1" x14ac:dyDescent="0.25"/>
    <row r="57" spans="2:5" ht="0.6" hidden="1" customHeight="1" x14ac:dyDescent="0.25">
      <c r="B57" s="31" t="s">
        <v>234</v>
      </c>
    </row>
  </sheetData>
  <printOptions horizontalCentered="1" verticalCentered="1"/>
  <pageMargins left="0.11811023622047245" right="0.11811023622047245" top="0.15748031496062992" bottom="0.15748031496062992" header="0.31496062992125984" footer="0.31496062992125984"/>
  <pageSetup paperSize="9" scale="80" orientation="landscape" horizontalDpi="4294967293"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COURS </vt:lpstr>
      <vt:lpstr>ABS 1 </vt:lpstr>
      <vt:lpstr>ABS 2</vt:lpstr>
      <vt:lpstr>ABS 3 </vt:lpstr>
      <vt:lpstr>EX 1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2025-12-11T15:06:08Z</cp:lastPrinted>
  <dcterms:created xsi:type="dcterms:W3CDTF">2019-12-02T18:41:55Z</dcterms:created>
  <dcterms:modified xsi:type="dcterms:W3CDTF">2025-12-13T09:38:11Z</dcterms:modified>
</cp:coreProperties>
</file>